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Zadání parametrů" sheetId="1" r:id="rId1"/>
    <sheet name="Ocelové potrubí" sheetId="2" r:id="rId2"/>
    <sheet name="Měděné potrubí" sheetId="3" r:id="rId3"/>
    <sheet name="Rehau Rautitan Pink" sheetId="4" r:id="rId4"/>
    <sheet name="Al-PEX potrubí" sheetId="5" r:id="rId5"/>
  </sheets>
  <definedNames/>
  <calcPr fullCalcOnLoad="1"/>
</workbook>
</file>

<file path=xl/sharedStrings.xml><?xml version="1.0" encoding="utf-8"?>
<sst xmlns="http://schemas.openxmlformats.org/spreadsheetml/2006/main" count="524" uniqueCount="113">
  <si>
    <t>Kč/m3</t>
  </si>
  <si>
    <t>Kč/kWh</t>
  </si>
  <si>
    <t>Průměr</t>
  </si>
  <si>
    <t>mm</t>
  </si>
  <si>
    <t>Kč/m</t>
  </si>
  <si>
    <t>Cena</t>
  </si>
  <si>
    <t>PE návlek</t>
  </si>
  <si>
    <t>K</t>
  </si>
  <si>
    <t>W/m2*K</t>
  </si>
  <si>
    <t>W/m</t>
  </si>
  <si>
    <t>W/m*K</t>
  </si>
  <si>
    <t>Lambda</t>
  </si>
  <si>
    <t>Roční úspora</t>
  </si>
  <si>
    <t>Návratnost</t>
  </si>
  <si>
    <t>dny</t>
  </si>
  <si>
    <t>Min.vlna +Al folie</t>
  </si>
  <si>
    <t>potrubí</t>
  </si>
  <si>
    <t>Tloušťka</t>
  </si>
  <si>
    <t>izolace</t>
  </si>
  <si>
    <t>neizol.potr.</t>
  </si>
  <si>
    <t>izol.potr.</t>
  </si>
  <si>
    <t>Ocel DN50</t>
  </si>
  <si>
    <t>Cu 28x1mm</t>
  </si>
  <si>
    <t>Cu 15x1mm</t>
  </si>
  <si>
    <t>izolací</t>
  </si>
  <si>
    <t>Přestup tepla z válcového povrchu do okolí</t>
  </si>
  <si>
    <t>stěny</t>
  </si>
  <si>
    <t>Vyhodnocení nákladů</t>
  </si>
  <si>
    <t>roky</t>
  </si>
  <si>
    <t>st.C</t>
  </si>
  <si>
    <t>kWh/m.rok</t>
  </si>
  <si>
    <t>Kč/m.rok</t>
  </si>
  <si>
    <t>Měrná</t>
  </si>
  <si>
    <t>cena izol.</t>
  </si>
  <si>
    <t>dny/rok</t>
  </si>
  <si>
    <t>Počet posuzovaných let pro optimalizaci</t>
  </si>
  <si>
    <t>Cena tepla</t>
  </si>
  <si>
    <t>za zvolené období</t>
  </si>
  <si>
    <t>Cu 18x1mm</t>
  </si>
  <si>
    <t>Cu 22x1mm</t>
  </si>
  <si>
    <t>Cu 35x1,5mm</t>
  </si>
  <si>
    <t>Kč/GJ</t>
  </si>
  <si>
    <t>Ocel DN40</t>
  </si>
  <si>
    <t>Ocel DN10</t>
  </si>
  <si>
    <t>Maximální projektovaná teplota topné vody</t>
  </si>
  <si>
    <t>Střední teplota prostředí, v němž je potrubí instalováno</t>
  </si>
  <si>
    <t>tv</t>
  </si>
  <si>
    <t>Průměrná teplota vytápěných prostor</t>
  </si>
  <si>
    <t>ti</t>
  </si>
  <si>
    <t>tp</t>
  </si>
  <si>
    <t>te</t>
  </si>
  <si>
    <t xml:space="preserve">zadávané hodnoty </t>
  </si>
  <si>
    <t>průběžné vypočtené hodnoty</t>
  </si>
  <si>
    <t>výsledné vypočtené hodnoty</t>
  </si>
  <si>
    <t>Průměrná venkovní teplota v provozním období</t>
  </si>
  <si>
    <t>Venkovní výpočtová teplota</t>
  </si>
  <si>
    <t>Cena tepla vyjádřená v kWh</t>
  </si>
  <si>
    <t>Měděné potrubí - výpočet optimální izolace</t>
  </si>
  <si>
    <t>Cu 42x1,5mm</t>
  </si>
  <si>
    <t>Cu 54x1,5mm</t>
  </si>
  <si>
    <t>Minimální náklady</t>
  </si>
  <si>
    <t>Popis proměnné</t>
  </si>
  <si>
    <t>symbol</t>
  </si>
  <si>
    <t>rozměr</t>
  </si>
  <si>
    <t>hodnota</t>
  </si>
  <si>
    <t>Ocelové potrubí - výpočet optimální izolace</t>
  </si>
  <si>
    <t>Ocel DN15</t>
  </si>
  <si>
    <t>Ocel DN20</t>
  </si>
  <si>
    <t>Ocel DN25</t>
  </si>
  <si>
    <t>Ocel DN32</t>
  </si>
  <si>
    <t>Ocel DN65</t>
  </si>
  <si>
    <t>Ocel DN80</t>
  </si>
  <si>
    <t>Ocel DN100</t>
  </si>
  <si>
    <t>Rehau 16x2,2</t>
  </si>
  <si>
    <t>Rehau 20x2,8</t>
  </si>
  <si>
    <t>Rehau 25x3,5</t>
  </si>
  <si>
    <t>Rehau 32x4,4</t>
  </si>
  <si>
    <t>Rehau 40x5,5</t>
  </si>
  <si>
    <t>Rehau 50x6,9</t>
  </si>
  <si>
    <t>Rehau 63x8,6</t>
  </si>
  <si>
    <t>Plastové potrubí - výpočet optimální izolace</t>
  </si>
  <si>
    <t>Legenda</t>
  </si>
  <si>
    <t>Potrubí</t>
  </si>
  <si>
    <t>popis izolace</t>
  </si>
  <si>
    <t>-</t>
  </si>
  <si>
    <t>Optimální tloušťky izolací pro jednotlivé potrubní materiály jsou vypočteny na následujících kartách tohoto sešitu</t>
  </si>
  <si>
    <t xml:space="preserve">Optimalizace tloušťky tepelné izolace potrubí pro vytápění - zadání </t>
  </si>
  <si>
    <t>Meziroční nárůst ceny tepla</t>
  </si>
  <si>
    <t>%</t>
  </si>
  <si>
    <t>Inflace</t>
  </si>
  <si>
    <t>i</t>
  </si>
  <si>
    <t>Cena tepla na počátku posuzovaného období v GJ</t>
  </si>
  <si>
    <t>Střední cena tepla v posuzovaném období po odečtení inflace</t>
  </si>
  <si>
    <t>Ctp</t>
  </si>
  <si>
    <t>Cts</t>
  </si>
  <si>
    <t>Ztráta</t>
  </si>
  <si>
    <t>Teplo ročně</t>
  </si>
  <si>
    <t>Al-PEX potrubí - výpočet optimální izolace</t>
  </si>
  <si>
    <t>Alpex 16x2</t>
  </si>
  <si>
    <t>Alpex 20x2</t>
  </si>
  <si>
    <t>Alpex 25x3</t>
  </si>
  <si>
    <t>Alpex 32x3</t>
  </si>
  <si>
    <t>Alpex 40x3,5</t>
  </si>
  <si>
    <t>Alpex 50x4</t>
  </si>
  <si>
    <t>Alpex 63x4,5</t>
  </si>
  <si>
    <t>n</t>
  </si>
  <si>
    <t>tw</t>
  </si>
  <si>
    <t>z</t>
  </si>
  <si>
    <t>αe</t>
  </si>
  <si>
    <t>tm</t>
  </si>
  <si>
    <t>Počet dnů v topném období</t>
  </si>
  <si>
    <r>
      <t>d</t>
    </r>
    <r>
      <rPr>
        <sz val="8"/>
        <rFont val="Arial"/>
        <family val="2"/>
      </rPr>
      <t>12</t>
    </r>
  </si>
  <si>
    <t>Střední teplota média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</si>
</sst>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\ _K_č_-;\-* #,##0.000\ _K_č_-;_-* &quot;-&quot;?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"/>
    <numFmt numFmtId="174" formatCode="#,##0\ &quot;Kč&quot;"/>
    <numFmt numFmtId="175" formatCode="_-* #,##0.0\ _K_č_-;\-* #,##0.0\ _K_č_-;_-* &quot;-&quot;?\ _K_č_-;_-@_-"/>
    <numFmt numFmtId="176" formatCode="#,##0\ _K_č"/>
    <numFmt numFmtId="177" formatCode="#,##0.0\ &quot;Kč&quot;"/>
    <numFmt numFmtId="178" formatCode="0.0%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_-* #,##0.000000\ _K_č_-;\-* #,##0.000000\ _K_č_-;_-* &quot;-&quot;??\ _K_č_-;_-@_-"/>
    <numFmt numFmtId="183" formatCode="#,##0.00\ &quot;Kč&quot;"/>
  </numFmts>
  <fonts count="13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0"/>
      <color indexed="12"/>
      <name val="Arial"/>
      <family val="0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3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171" fontId="3" fillId="0" borderId="0" xfId="15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43" fontId="0" fillId="0" borderId="0" xfId="15" applyAlignment="1">
      <alignment horizontal="center"/>
    </xf>
    <xf numFmtId="0" fontId="0" fillId="0" borderId="0" xfId="0" applyFont="1" applyAlignment="1">
      <alignment/>
    </xf>
    <xf numFmtId="43" fontId="0" fillId="0" borderId="0" xfId="15" applyFill="1" applyAlignment="1">
      <alignment horizontal="center"/>
    </xf>
    <xf numFmtId="43" fontId="3" fillId="0" borderId="0" xfId="15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right"/>
    </xf>
    <xf numFmtId="43" fontId="3" fillId="0" borderId="1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174" fontId="0" fillId="0" borderId="1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 horizontal="right"/>
    </xf>
    <xf numFmtId="43" fontId="3" fillId="4" borderId="1" xfId="0" applyNumberFormat="1" applyFont="1" applyFill="1" applyBorder="1" applyAlignment="1">
      <alignment horizontal="center"/>
    </xf>
    <xf numFmtId="43" fontId="0" fillId="4" borderId="1" xfId="0" applyNumberFormat="1" applyFill="1" applyBorder="1" applyAlignment="1">
      <alignment horizontal="center"/>
    </xf>
    <xf numFmtId="43" fontId="0" fillId="4" borderId="1" xfId="0" applyNumberForma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7" fontId="0" fillId="0" borderId="1" xfId="0" applyNumberForma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77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6" fillId="2" borderId="1" xfId="15" applyNumberFormat="1" applyFont="1" applyFill="1" applyBorder="1" applyAlignment="1">
      <alignment horizontal="center"/>
    </xf>
    <xf numFmtId="171" fontId="6" fillId="0" borderId="1" xfId="15" applyNumberFormat="1" applyFont="1" applyFill="1" applyBorder="1" applyAlignment="1">
      <alignment horizontal="center"/>
    </xf>
    <xf numFmtId="43" fontId="6" fillId="4" borderId="1" xfId="15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4" borderId="1" xfId="0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2" fontId="6" fillId="4" borderId="1" xfId="15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5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3" fontId="7" fillId="5" borderId="1" xfId="15" applyFont="1" applyFill="1" applyBorder="1" applyAlignment="1">
      <alignment horizontal="center"/>
    </xf>
    <xf numFmtId="43" fontId="6" fillId="5" borderId="1" xfId="15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3" fontId="3" fillId="6" borderId="1" xfId="15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43" fontId="3" fillId="7" borderId="1" xfId="15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43" fontId="10" fillId="8" borderId="1" xfId="15" applyFont="1" applyFill="1" applyBorder="1" applyAlignment="1">
      <alignment horizontal="center"/>
    </xf>
    <xf numFmtId="0" fontId="12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11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/>
    </xf>
    <xf numFmtId="0" fontId="9" fillId="9" borderId="1" xfId="0" applyFont="1" applyFill="1" applyBorder="1" applyAlignment="1">
      <alignment horizontal="center"/>
    </xf>
    <xf numFmtId="172" fontId="9" fillId="9" borderId="1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9" borderId="0" xfId="0" applyFont="1" applyFill="1" applyAlignment="1">
      <alignment/>
    </xf>
    <xf numFmtId="178" fontId="6" fillId="2" borderId="1" xfId="15" applyNumberFormat="1" applyFont="1" applyFill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2" borderId="1" xfId="0" applyFont="1" applyFill="1" applyBorder="1" applyAlignment="1">
      <alignment horizontal="left"/>
    </xf>
    <xf numFmtId="43" fontId="3" fillId="2" borderId="1" xfId="15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9.140625" style="0" customWidth="1"/>
    <col min="2" max="2" width="17.421875" style="7" customWidth="1"/>
    <col min="3" max="3" width="18.7109375" style="2" customWidth="1"/>
    <col min="4" max="4" width="17.28125" style="2" customWidth="1"/>
    <col min="5" max="5" width="10.57421875" style="2" customWidth="1"/>
    <col min="6" max="6" width="11.28125" style="3" bestFit="1" customWidth="1"/>
    <col min="7" max="7" width="13.421875" style="3" bestFit="1" customWidth="1"/>
    <col min="8" max="8" width="13.421875" style="2" bestFit="1" customWidth="1"/>
    <col min="9" max="9" width="12.421875" style="2" customWidth="1"/>
    <col min="10" max="10" width="11.7109375" style="2" bestFit="1" customWidth="1"/>
    <col min="11" max="11" width="11.7109375" style="0" bestFit="1" customWidth="1"/>
    <col min="12" max="12" width="11.8515625" style="0" customWidth="1"/>
    <col min="13" max="13" width="10.7109375" style="0" hidden="1" customWidth="1"/>
    <col min="14" max="14" width="21.140625" style="0" bestFit="1" customWidth="1"/>
  </cols>
  <sheetData>
    <row r="1" ht="25.5">
      <c r="A1" s="60" t="s">
        <v>86</v>
      </c>
    </row>
    <row r="2" ht="20.25">
      <c r="A2" s="1"/>
    </row>
    <row r="3" spans="1:5" ht="25.5" customHeight="1">
      <c r="A3" s="101" t="s">
        <v>61</v>
      </c>
      <c r="B3" s="102" t="s">
        <v>62</v>
      </c>
      <c r="C3" s="102" t="s">
        <v>63</v>
      </c>
      <c r="D3" s="103" t="s">
        <v>64</v>
      </c>
      <c r="E3" s="14"/>
    </row>
    <row r="4" spans="1:5" ht="19.5" customHeight="1">
      <c r="A4" s="52" t="s">
        <v>35</v>
      </c>
      <c r="B4" s="53" t="s">
        <v>105</v>
      </c>
      <c r="C4" s="53" t="s">
        <v>28</v>
      </c>
      <c r="D4" s="62">
        <v>1</v>
      </c>
      <c r="E4" s="14"/>
    </row>
    <row r="5" spans="1:5" ht="19.5" customHeight="1">
      <c r="A5" s="52" t="s">
        <v>55</v>
      </c>
      <c r="B5" s="53" t="s">
        <v>50</v>
      </c>
      <c r="C5" s="53" t="s">
        <v>29</v>
      </c>
      <c r="D5" s="54">
        <v>-13</v>
      </c>
      <c r="E5" s="14"/>
    </row>
    <row r="6" spans="1:5" ht="19.5" customHeight="1">
      <c r="A6" s="52" t="s">
        <v>110</v>
      </c>
      <c r="B6" s="53" t="s">
        <v>111</v>
      </c>
      <c r="C6" s="53" t="s">
        <v>34</v>
      </c>
      <c r="D6" s="54">
        <v>219</v>
      </c>
      <c r="E6" s="14"/>
    </row>
    <row r="7" spans="1:8" ht="19.5" customHeight="1">
      <c r="A7" s="52" t="s">
        <v>54</v>
      </c>
      <c r="B7" s="53" t="s">
        <v>46</v>
      </c>
      <c r="C7" s="53" t="s">
        <v>29</v>
      </c>
      <c r="D7" s="62">
        <v>3.7</v>
      </c>
      <c r="E7" s="14"/>
      <c r="F7" s="19"/>
      <c r="G7" s="20"/>
      <c r="H7" s="21"/>
    </row>
    <row r="8" spans="1:5" ht="19.5" customHeight="1">
      <c r="A8" s="52" t="s">
        <v>47</v>
      </c>
      <c r="B8" s="53" t="s">
        <v>48</v>
      </c>
      <c r="C8" s="53" t="s">
        <v>29</v>
      </c>
      <c r="D8" s="62">
        <v>20</v>
      </c>
      <c r="E8" s="14"/>
    </row>
    <row r="9" spans="1:5" ht="19.5" customHeight="1">
      <c r="A9" s="52" t="s">
        <v>45</v>
      </c>
      <c r="B9" s="53" t="s">
        <v>49</v>
      </c>
      <c r="C9" s="53" t="s">
        <v>29</v>
      </c>
      <c r="D9" s="62">
        <v>10</v>
      </c>
      <c r="E9" s="14"/>
    </row>
    <row r="10" spans="1:5" ht="19.5" customHeight="1">
      <c r="A10" s="52" t="s">
        <v>44</v>
      </c>
      <c r="B10" s="53" t="s">
        <v>106</v>
      </c>
      <c r="C10" s="53" t="s">
        <v>29</v>
      </c>
      <c r="D10" s="54">
        <v>70</v>
      </c>
      <c r="E10" s="15"/>
    </row>
    <row r="11" spans="1:5" ht="19.5" customHeight="1">
      <c r="A11" s="52" t="s">
        <v>91</v>
      </c>
      <c r="B11" s="53" t="s">
        <v>93</v>
      </c>
      <c r="C11" s="53" t="s">
        <v>41</v>
      </c>
      <c r="D11" s="54">
        <v>400</v>
      </c>
      <c r="E11" s="15"/>
    </row>
    <row r="12" spans="1:5" ht="19.5" customHeight="1">
      <c r="A12" s="52" t="s">
        <v>87</v>
      </c>
      <c r="B12" s="53" t="s">
        <v>107</v>
      </c>
      <c r="C12" s="53" t="s">
        <v>88</v>
      </c>
      <c r="D12" s="106">
        <v>0.08</v>
      </c>
      <c r="E12" s="15"/>
    </row>
    <row r="13" spans="1:5" ht="19.5" customHeight="1">
      <c r="A13" s="52" t="s">
        <v>89</v>
      </c>
      <c r="B13" s="53" t="s">
        <v>90</v>
      </c>
      <c r="C13" s="53" t="s">
        <v>88</v>
      </c>
      <c r="D13" s="106">
        <v>0.03</v>
      </c>
      <c r="E13" s="15"/>
    </row>
    <row r="14" spans="1:5" ht="19.5" customHeight="1">
      <c r="A14" s="52" t="s">
        <v>25</v>
      </c>
      <c r="B14" s="116" t="s">
        <v>108</v>
      </c>
      <c r="C14" s="53" t="s">
        <v>8</v>
      </c>
      <c r="D14" s="54">
        <v>10</v>
      </c>
      <c r="E14" s="16"/>
    </row>
    <row r="15" spans="1:5" ht="19.5" customHeight="1">
      <c r="A15" s="52"/>
      <c r="B15" s="53"/>
      <c r="C15" s="53"/>
      <c r="D15" s="55"/>
      <c r="E15" s="15"/>
    </row>
    <row r="16" spans="1:5" ht="19.5" customHeight="1">
      <c r="A16" s="52" t="s">
        <v>112</v>
      </c>
      <c r="B16" s="53" t="s">
        <v>109</v>
      </c>
      <c r="C16" s="53" t="s">
        <v>7</v>
      </c>
      <c r="D16" s="63">
        <f>(D7-D5)/(D8-D5)*(D10-D8)+D8</f>
        <v>45.3030303030303</v>
      </c>
      <c r="E16" s="15"/>
    </row>
    <row r="17" spans="1:7" ht="19.5" customHeight="1">
      <c r="A17" s="52" t="s">
        <v>92</v>
      </c>
      <c r="B17" s="53" t="s">
        <v>94</v>
      </c>
      <c r="C17" s="53" t="s">
        <v>41</v>
      </c>
      <c r="D17" s="63">
        <f>D11*((1+D12-D13)^D4-1)/(D4*(D12-D13))</f>
        <v>400.00000000000034</v>
      </c>
      <c r="E17" s="14"/>
      <c r="F17" s="10"/>
      <c r="G17" s="11"/>
    </row>
    <row r="18" spans="1:7" ht="19.5" customHeight="1">
      <c r="A18" s="52" t="s">
        <v>56</v>
      </c>
      <c r="B18" s="53" t="s">
        <v>94</v>
      </c>
      <c r="C18" s="53" t="s">
        <v>1</v>
      </c>
      <c r="D18" s="63">
        <f>D17/277.777</f>
        <v>1.440004032011291</v>
      </c>
      <c r="E18" s="14"/>
      <c r="F18" s="10"/>
      <c r="G18" s="11"/>
    </row>
    <row r="19" spans="1:4" ht="15.75">
      <c r="A19" s="57"/>
      <c r="B19" s="58"/>
      <c r="C19" s="59"/>
      <c r="D19" s="59"/>
    </row>
    <row r="20" spans="1:4" ht="18">
      <c r="A20" s="105" t="s">
        <v>81</v>
      </c>
      <c r="B20" s="64"/>
      <c r="C20" s="65" t="s">
        <v>51</v>
      </c>
      <c r="D20" s="66"/>
    </row>
    <row r="21" spans="1:4" ht="15.75">
      <c r="A21" s="57"/>
      <c r="B21" s="67"/>
      <c r="C21" s="56" t="s">
        <v>52</v>
      </c>
      <c r="D21" s="68"/>
    </row>
    <row r="22" spans="1:4" ht="15.75">
      <c r="A22" s="57"/>
      <c r="B22" s="69"/>
      <c r="C22" s="70" t="s">
        <v>53</v>
      </c>
      <c r="D22" s="71"/>
    </row>
    <row r="24" ht="15.75">
      <c r="A24" s="104" t="s">
        <v>85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A7" sqref="A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7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82" t="s">
        <v>65</v>
      </c>
      <c r="B1" s="83"/>
      <c r="C1" s="84"/>
      <c r="D1" s="84"/>
      <c r="E1" s="85"/>
      <c r="F1" s="86"/>
    </row>
    <row r="2" ht="20.25">
      <c r="A2" s="1"/>
    </row>
    <row r="3" spans="1:18" ht="15.75" customHeight="1">
      <c r="A3" s="100" t="s">
        <v>82</v>
      </c>
      <c r="B3" s="79" t="s">
        <v>2</v>
      </c>
      <c r="C3" s="79" t="s">
        <v>17</v>
      </c>
      <c r="D3" s="79" t="s">
        <v>11</v>
      </c>
      <c r="E3" s="79" t="s">
        <v>11</v>
      </c>
      <c r="F3" s="79" t="s">
        <v>17</v>
      </c>
      <c r="G3" s="79" t="s">
        <v>5</v>
      </c>
      <c r="H3" s="79"/>
      <c r="I3" s="80" t="s">
        <v>32</v>
      </c>
      <c r="J3" s="79" t="s">
        <v>95</v>
      </c>
      <c r="K3" s="80" t="s">
        <v>96</v>
      </c>
      <c r="L3" s="80" t="s">
        <v>36</v>
      </c>
      <c r="M3" s="79" t="s">
        <v>95</v>
      </c>
      <c r="N3" s="80" t="s">
        <v>96</v>
      </c>
      <c r="O3" s="80" t="s">
        <v>36</v>
      </c>
      <c r="P3" s="80" t="s">
        <v>12</v>
      </c>
      <c r="Q3" s="79" t="s">
        <v>13</v>
      </c>
      <c r="R3" s="79" t="s">
        <v>27</v>
      </c>
    </row>
    <row r="4" spans="1:18" ht="15.75" customHeight="1">
      <c r="A4" s="100" t="s">
        <v>83</v>
      </c>
      <c r="B4" s="79" t="s">
        <v>16</v>
      </c>
      <c r="C4" s="79" t="s">
        <v>26</v>
      </c>
      <c r="D4" s="79" t="s">
        <v>16</v>
      </c>
      <c r="E4" s="79" t="s">
        <v>18</v>
      </c>
      <c r="F4" s="79" t="s">
        <v>18</v>
      </c>
      <c r="G4" s="79" t="s">
        <v>18</v>
      </c>
      <c r="H4" s="79"/>
      <c r="I4" s="80" t="s">
        <v>33</v>
      </c>
      <c r="J4" s="79" t="s">
        <v>19</v>
      </c>
      <c r="K4" s="80" t="s">
        <v>19</v>
      </c>
      <c r="L4" s="80" t="s">
        <v>19</v>
      </c>
      <c r="M4" s="79" t="s">
        <v>20</v>
      </c>
      <c r="N4" s="80" t="s">
        <v>20</v>
      </c>
      <c r="O4" s="80" t="s">
        <v>20</v>
      </c>
      <c r="P4" s="80" t="s">
        <v>24</v>
      </c>
      <c r="Q4" s="79" t="s">
        <v>18</v>
      </c>
      <c r="R4" s="79" t="s">
        <v>37</v>
      </c>
    </row>
    <row r="5" spans="1:18" ht="15.75" customHeight="1">
      <c r="A5" s="100" t="s">
        <v>84</v>
      </c>
      <c r="B5" s="79" t="s">
        <v>3</v>
      </c>
      <c r="C5" s="79" t="s">
        <v>3</v>
      </c>
      <c r="D5" s="79" t="s">
        <v>10</v>
      </c>
      <c r="E5" s="79" t="s">
        <v>10</v>
      </c>
      <c r="F5" s="81" t="s">
        <v>3</v>
      </c>
      <c r="G5" s="79" t="s">
        <v>4</v>
      </c>
      <c r="H5" s="79"/>
      <c r="I5" s="80" t="s">
        <v>0</v>
      </c>
      <c r="J5" s="79" t="s">
        <v>9</v>
      </c>
      <c r="K5" s="80" t="s">
        <v>30</v>
      </c>
      <c r="L5" s="80" t="s">
        <v>31</v>
      </c>
      <c r="M5" s="79" t="s">
        <v>9</v>
      </c>
      <c r="N5" s="80" t="s">
        <v>30</v>
      </c>
      <c r="O5" s="80" t="s">
        <v>31</v>
      </c>
      <c r="P5" s="80" t="s">
        <v>31</v>
      </c>
      <c r="Q5" s="80" t="s">
        <v>14</v>
      </c>
      <c r="R5" s="80" t="s">
        <v>4</v>
      </c>
    </row>
    <row r="6" spans="1:18" ht="21.75" customHeight="1">
      <c r="A6" s="5" t="s">
        <v>43</v>
      </c>
      <c r="B6" s="22"/>
      <c r="C6" s="26"/>
      <c r="D6" s="26"/>
      <c r="E6" s="21"/>
      <c r="F6" s="28"/>
      <c r="G6" s="21"/>
      <c r="H6" s="21"/>
      <c r="I6" s="31"/>
      <c r="J6" s="32"/>
      <c r="K6" s="33"/>
      <c r="L6" s="33"/>
      <c r="M6" s="32"/>
      <c r="N6" s="33"/>
      <c r="O6" s="33"/>
      <c r="P6" s="34"/>
      <c r="Q6" s="35"/>
      <c r="R6" s="36"/>
    </row>
    <row r="7" spans="1:18" ht="15.75" customHeight="1">
      <c r="A7" s="4" t="s">
        <v>6</v>
      </c>
      <c r="B7" s="23">
        <v>17.1</v>
      </c>
      <c r="C7" s="6">
        <v>2.35</v>
      </c>
      <c r="D7" s="6">
        <v>50</v>
      </c>
      <c r="E7" s="6">
        <v>0.044</v>
      </c>
      <c r="F7" s="23">
        <v>6</v>
      </c>
      <c r="G7" s="6">
        <v>3.8</v>
      </c>
      <c r="H7" s="48" t="str">
        <f>IF(R7=R$12,"OPTIMÁLNÍ","----")</f>
        <v>----</v>
      </c>
      <c r="I7" s="37">
        <f>G7/((3.14*(B7+2*F7)^2/4-3.14*B7^2/4)/1000000)</f>
        <v>8731.537393957777</v>
      </c>
      <c r="J7" s="38">
        <f>PI()/((1/(2*D7)*LN(B7/(B7-2*C7)))+(1/('Zadání parametrů'!D$14*(B7)/1000)))*('Zadání parametrů'!D$16-'Zadání parametrů'!D$9)</f>
        <v>18.95480678670015</v>
      </c>
      <c r="K7" s="39">
        <f>J7/1000*24*'Zadání parametrů'!$D$6</f>
        <v>99.62646447089598</v>
      </c>
      <c r="L7" s="39">
        <f>K7*'Zadání parametrů'!$D$18</f>
        <v>143.46251053311985</v>
      </c>
      <c r="M7" s="38">
        <f>PI()/((1/(2*D7)*LN(B7/(B7-2*C7)))+(1/(2*E7)*LN((B7+2*F7)/B7))+(1/('Zadání parametrů'!D$14*(B7+2*F7)/1000)))*('Zadání parametrů'!D$16-'Zadání parametrů'!D$9)</f>
        <v>11.69761404535236</v>
      </c>
      <c r="N7" s="39">
        <f>M7/1000*24*'Zadání parametrů'!$D$6</f>
        <v>61.48265942237201</v>
      </c>
      <c r="O7" s="39">
        <f>N7*'Zadání parametrů'!$D$18</f>
        <v>88.53527746699268</v>
      </c>
      <c r="P7" s="40">
        <f>L7-O7</f>
        <v>54.92723306612717</v>
      </c>
      <c r="Q7" s="8">
        <f>G7/P7*365</f>
        <v>25.251590560372552</v>
      </c>
      <c r="R7" s="45">
        <f>(O7*'Zadání parametrů'!$D$4)+G7</f>
        <v>92.33527746699268</v>
      </c>
    </row>
    <row r="8" spans="1:18" ht="15.75" customHeight="1">
      <c r="A8" s="4" t="s">
        <v>6</v>
      </c>
      <c r="B8" s="24">
        <f aca="true" t="shared" si="0" ref="B8:D11">B$7</f>
        <v>17.1</v>
      </c>
      <c r="C8" s="61">
        <f t="shared" si="0"/>
        <v>2.35</v>
      </c>
      <c r="D8" s="61">
        <f t="shared" si="0"/>
        <v>50</v>
      </c>
      <c r="E8" s="61">
        <f>E7</f>
        <v>0.044</v>
      </c>
      <c r="F8" s="23">
        <v>9</v>
      </c>
      <c r="G8" s="6">
        <v>6.7</v>
      </c>
      <c r="H8" s="48" t="str">
        <f>IF(R8=R$12,"OPTIMÁLNÍ","----")</f>
        <v>----</v>
      </c>
      <c r="I8" s="37">
        <f>G8/((3.14*(B8+2*F8)^2/4-3.14*B8^2/4)/1000000)</f>
        <v>9083.686512488035</v>
      </c>
      <c r="J8" s="38">
        <f>PI()/((1/(2*D8)*LN(B8/(B8-2*C8)))+(1/('Zadání parametrů'!D$14*(B8)/1000)))*('Zadání parametrů'!D$16-'Zadání parametrů'!D$9)</f>
        <v>18.95480678670015</v>
      </c>
      <c r="K8" s="39">
        <f>J8/1000*24*'Zadání parametrů'!$D$6</f>
        <v>99.62646447089598</v>
      </c>
      <c r="L8" s="39">
        <f>K8*'Zadání parametrů'!$D$18</f>
        <v>143.46251053311985</v>
      </c>
      <c r="M8" s="38">
        <f>PI()/((1/(2*D8)*LN(B8/(B8-2*C8)))+(1/(2*E8)*LN((B8+2*F8)/B8))+(1/('Zadání parametrů'!D$14*(B8+2*F8)/1000)))*('Zadání parametrů'!D$16-'Zadání parametrů'!D$9)</f>
        <v>10.060512076865368</v>
      </c>
      <c r="N8" s="39">
        <f>M8/1000*24*'Zadání parametrů'!$D$6</f>
        <v>52.87805147600438</v>
      </c>
      <c r="O8" s="39">
        <f>N8*'Zadání parametrů'!$D$18</f>
        <v>76.1446073303469</v>
      </c>
      <c r="P8" s="40">
        <f>L8-O8</f>
        <v>67.31790320277295</v>
      </c>
      <c r="Q8" s="8">
        <f>G8/P8*365</f>
        <v>36.327631783683735</v>
      </c>
      <c r="R8" s="45">
        <f>(O8*'Zadání parametrů'!$D$4)+G8</f>
        <v>82.8446073303469</v>
      </c>
    </row>
    <row r="9" spans="1:18" ht="15.75" customHeight="1">
      <c r="A9" s="12" t="s">
        <v>6</v>
      </c>
      <c r="B9" s="24">
        <f t="shared" si="0"/>
        <v>17.1</v>
      </c>
      <c r="C9" s="61">
        <f t="shared" si="0"/>
        <v>2.35</v>
      </c>
      <c r="D9" s="61">
        <f t="shared" si="0"/>
        <v>50</v>
      </c>
      <c r="E9" s="61">
        <f aca="true" t="shared" si="1" ref="E9:E60">E8</f>
        <v>0.044</v>
      </c>
      <c r="F9" s="29">
        <v>13</v>
      </c>
      <c r="G9" s="13">
        <v>12.5</v>
      </c>
      <c r="H9" s="48" t="str">
        <f>IF(R9=R$12,"OPTIMÁLNÍ","----")</f>
        <v>----</v>
      </c>
      <c r="I9" s="37">
        <f>G9/((3.14*(B9+2*F9)^2/4-3.14*B9^2/4)/1000000)</f>
        <v>10173.502989382117</v>
      </c>
      <c r="J9" s="38">
        <f>PI()/((1/(2*D9)*LN(B9/(B9-2*C9)))+(1/('Zadání parametrů'!D$14*(B9)/1000)))*('Zadání parametrů'!D$16-'Zadání parametrů'!D$9)</f>
        <v>18.95480678670015</v>
      </c>
      <c r="K9" s="39">
        <f>J9/1000*24*'Zadání parametrů'!$D$6</f>
        <v>99.62646447089598</v>
      </c>
      <c r="L9" s="39">
        <f>K9*'Zadání parametrů'!$D$18</f>
        <v>143.46251053311985</v>
      </c>
      <c r="M9" s="38">
        <f>PI()/((1/(2*D9)*LN(B9/(B9-2*C9)))+(1/(2*E9)*LN((B9+2*F9)/B9))+(1/('Zadání parametrů'!D$14*(B9+2*F9)/1000)))*('Zadání parametrů'!D$16-'Zadání parametrů'!D$9)</f>
        <v>8.645450729492284</v>
      </c>
      <c r="N9" s="39">
        <f>M9/1000*24*'Zadání parametrů'!$D$6</f>
        <v>45.44048903421144</v>
      </c>
      <c r="O9" s="39">
        <f>N9*'Zadání parametrů'!$D$18</f>
        <v>65.43448742582933</v>
      </c>
      <c r="P9" s="40">
        <f>L9-O9</f>
        <v>78.02802310729052</v>
      </c>
      <c r="Q9" s="8">
        <f>G9/P9*365</f>
        <v>58.47258226350866</v>
      </c>
      <c r="R9" s="45">
        <f>(O9*'Zadání parametrů'!$D$4)+G9</f>
        <v>77.93448742582933</v>
      </c>
    </row>
    <row r="10" spans="1:18" ht="15.75" customHeight="1">
      <c r="A10" s="4" t="s">
        <v>6</v>
      </c>
      <c r="B10" s="24">
        <f t="shared" si="0"/>
        <v>17.1</v>
      </c>
      <c r="C10" s="61">
        <f t="shared" si="0"/>
        <v>2.35</v>
      </c>
      <c r="D10" s="61">
        <f t="shared" si="0"/>
        <v>50</v>
      </c>
      <c r="E10" s="61">
        <f t="shared" si="1"/>
        <v>0.044</v>
      </c>
      <c r="F10" s="23">
        <v>20</v>
      </c>
      <c r="G10" s="6">
        <v>23.2</v>
      </c>
      <c r="H10" s="48" t="str">
        <f>IF(R10=R$12,"OPTIMÁLNÍ","----")</f>
        <v>OPTIMÁLNÍ</v>
      </c>
      <c r="I10" s="37">
        <f>G10/((3.14*(B10+2*F10)^2/4-3.14*B10^2/4)/1000000)</f>
        <v>9957.594382543306</v>
      </c>
      <c r="J10" s="38">
        <f>PI()/((1/(2*D10)*LN(B10/(B10-2*C10)))+(1/('Zadání parametrů'!D$14*(B10)/1000)))*('Zadání parametrů'!D$16-'Zadání parametrů'!D$9)</f>
        <v>18.95480678670015</v>
      </c>
      <c r="K10" s="39">
        <f>J10/1000*24*'Zadání parametrů'!$D$6</f>
        <v>99.62646447089598</v>
      </c>
      <c r="L10" s="39">
        <f>K10*'Zadání parametrů'!$D$18</f>
        <v>143.46251053311985</v>
      </c>
      <c r="M10" s="38">
        <f>PI()/((1/(2*D10)*LN(B10/(B10-2*C10)))+(1/(2*E10)*LN((B10+2*F10)/B10))+(1/('Zadání parametrů'!D$14*(B10+2*F10)/1000)))*('Zadání parametrů'!D$16-'Zadání parametrů'!D$9)</f>
        <v>7.17572866543403</v>
      </c>
      <c r="N10" s="39">
        <f>M10/1000*24*'Zadání parametrů'!$D$6</f>
        <v>37.715629865521265</v>
      </c>
      <c r="O10" s="39">
        <f>N10*'Zadání parametrů'!$D$18</f>
        <v>54.31065907619609</v>
      </c>
      <c r="P10" s="40">
        <f>L10-O10</f>
        <v>89.15185145692377</v>
      </c>
      <c r="Q10" s="8">
        <f>G10/P10*365</f>
        <v>94.98400607071581</v>
      </c>
      <c r="R10" s="45">
        <f>(O10*'Zadání parametrů'!$D$4)+G10</f>
        <v>77.51065907619609</v>
      </c>
    </row>
    <row r="11" spans="1:18" ht="15.75" customHeight="1">
      <c r="A11" s="4" t="s">
        <v>6</v>
      </c>
      <c r="B11" s="24">
        <f t="shared" si="0"/>
        <v>17.1</v>
      </c>
      <c r="C11" s="61">
        <f t="shared" si="0"/>
        <v>2.35</v>
      </c>
      <c r="D11" s="61">
        <f t="shared" si="0"/>
        <v>50</v>
      </c>
      <c r="E11" s="61">
        <f t="shared" si="1"/>
        <v>0.044</v>
      </c>
      <c r="F11" s="23">
        <v>25</v>
      </c>
      <c r="G11" s="6">
        <v>39</v>
      </c>
      <c r="H11" s="48" t="str">
        <f>IF(R11=R$12,"OPTIMÁLNÍ","----")</f>
        <v>----</v>
      </c>
      <c r="I11" s="37">
        <f>G11/((3.14*(B11+2*F11)^2/4-3.14*B11^2/4)/1000000)</f>
        <v>11800.838162095104</v>
      </c>
      <c r="J11" s="38">
        <f>PI()/((1/(2*D11)*LN(B11/(B11-2*C11)))+(1/('Zadání parametrů'!D$14*(B11)/1000)))*('Zadání parametrů'!D$16-'Zadání parametrů'!D$9)</f>
        <v>18.95480678670015</v>
      </c>
      <c r="K11" s="39">
        <f>J11/1000*24*'Zadání parametrů'!$D$6</f>
        <v>99.62646447089598</v>
      </c>
      <c r="L11" s="39">
        <f>K11*'Zadání parametrů'!$D$18</f>
        <v>143.46251053311985</v>
      </c>
      <c r="M11" s="38">
        <f>PI()/((1/(2*D11)*LN(B11/(B11-2*C11)))+(1/(2*E11)*LN((B11+2*F11)/B11))+(1/('Zadání parametrů'!D$14*(B11+2*F11)/1000)))*('Zadání parametrů'!D$16-'Zadání parametrů'!D$9)</f>
        <v>6.512944356044792</v>
      </c>
      <c r="N11" s="39">
        <f>M11/1000*24*'Zadání parametrů'!$D$6</f>
        <v>34.23203553537143</v>
      </c>
      <c r="O11" s="39">
        <f>N11*'Zadání parametrů'!$D$18</f>
        <v>49.294269194888656</v>
      </c>
      <c r="P11" s="40">
        <f>L11-O11</f>
        <v>94.1682413382312</v>
      </c>
      <c r="Q11" s="8">
        <f>G11/P11*365</f>
        <v>151.1656137749358</v>
      </c>
      <c r="R11" s="45">
        <f>(O11*'Zadání parametrů'!$D$4)+G11</f>
        <v>88.29426919488866</v>
      </c>
    </row>
    <row r="12" spans="1:18" ht="15.75" customHeight="1">
      <c r="A12" s="42"/>
      <c r="B12" s="22"/>
      <c r="C12" s="25"/>
      <c r="D12" s="30"/>
      <c r="E12" s="30"/>
      <c r="F12" s="22"/>
      <c r="G12" s="25"/>
      <c r="H12" s="25"/>
      <c r="I12" s="31"/>
      <c r="J12" s="31"/>
      <c r="K12" s="33"/>
      <c r="L12" s="33"/>
      <c r="M12" s="33"/>
      <c r="N12" s="33"/>
      <c r="O12" s="49" t="s">
        <v>60</v>
      </c>
      <c r="P12" s="34"/>
      <c r="Q12" s="8"/>
      <c r="R12" s="47">
        <f>MIN(R7:R11)</f>
        <v>77.51065907619609</v>
      </c>
    </row>
    <row r="13" spans="1:18" ht="21.75" customHeight="1">
      <c r="A13" s="5" t="s">
        <v>66</v>
      </c>
      <c r="B13" s="22"/>
      <c r="C13" s="42"/>
      <c r="D13" s="30"/>
      <c r="E13" s="30"/>
      <c r="F13" s="22"/>
      <c r="G13" s="25"/>
      <c r="H13" s="25"/>
      <c r="I13" s="31"/>
      <c r="J13" s="31"/>
      <c r="K13" s="33"/>
      <c r="L13" s="33"/>
      <c r="M13" s="33"/>
      <c r="N13" s="33"/>
      <c r="O13" s="33"/>
      <c r="P13" s="34"/>
      <c r="Q13" s="35"/>
      <c r="R13" s="44"/>
    </row>
    <row r="14" spans="1:18" ht="12.75">
      <c r="A14" s="4" t="s">
        <v>6</v>
      </c>
      <c r="B14" s="23">
        <v>21.4</v>
      </c>
      <c r="C14" s="6">
        <v>2.65</v>
      </c>
      <c r="D14" s="61">
        <f>D$7</f>
        <v>50</v>
      </c>
      <c r="E14" s="6">
        <v>0.044</v>
      </c>
      <c r="F14" s="23">
        <v>6</v>
      </c>
      <c r="G14" s="6">
        <v>4.2</v>
      </c>
      <c r="H14" s="48" t="str">
        <f aca="true" t="shared" si="2" ref="H14:H21">IF(R14=R$23,"OPTIMÁLNÍ","----")</f>
        <v>----</v>
      </c>
      <c r="I14" s="37">
        <f>G14/((3.14*(B14+2*F14)^2/4-3.14*B14^2/4)/1000000)</f>
        <v>8136.129062253009</v>
      </c>
      <c r="J14" s="38">
        <f>PI()/((1/(2*D14)*LN(B14/(B14-2*C14)))+(1/('Zadání parametrů'!D$14*(B14)/1000)))*('Zadání parametrů'!D$16-'Zadání parametrů'!D$9)</f>
        <v>23.719811529146366</v>
      </c>
      <c r="K14" s="39">
        <f>J14/1000*24*'Zadání parametrů'!$D$6</f>
        <v>124.67132939719329</v>
      </c>
      <c r="L14" s="39">
        <f>K14*'Zadání parametrů'!$D$18</f>
        <v>179.52721700816613</v>
      </c>
      <c r="M14" s="38">
        <f>PI()/((1/(2*D14)*LN(B14/(B14-2*C14)))+(1/(2*E14)*LN((B14+2*F14)/B14))+(1/('Zadání parametrů'!D$14*(B14+2*F14)/1000)))*('Zadání parametrů'!D$16-'Zadání parametrů'!D$9)</f>
        <v>13.767865888775834</v>
      </c>
      <c r="N14" s="39">
        <f>M14/1000*24*'Zadání parametrů'!$D$6</f>
        <v>72.36390311140578</v>
      </c>
      <c r="O14" s="39">
        <f>N14*'Zadání parametrů'!$D$18</f>
        <v>104.20431225249872</v>
      </c>
      <c r="P14" s="40">
        <f>L14-O14</f>
        <v>75.32290475566741</v>
      </c>
      <c r="Q14" s="8">
        <f>G14/P14*365</f>
        <v>20.35237495118847</v>
      </c>
      <c r="R14" s="45">
        <f>(O14*'Zadání parametrů'!$D$4)+G14</f>
        <v>108.40431225249873</v>
      </c>
    </row>
    <row r="15" spans="1:18" ht="12.75">
      <c r="A15" s="4" t="s">
        <v>6</v>
      </c>
      <c r="B15" s="24">
        <f>B$14</f>
        <v>21.4</v>
      </c>
      <c r="C15" s="61">
        <f>C$14</f>
        <v>2.65</v>
      </c>
      <c r="D15" s="61">
        <f>D$7</f>
        <v>50</v>
      </c>
      <c r="E15" s="61">
        <f t="shared" si="1"/>
        <v>0.044</v>
      </c>
      <c r="F15" s="23">
        <v>9</v>
      </c>
      <c r="G15" s="6">
        <v>7.2</v>
      </c>
      <c r="H15" s="48" t="str">
        <f t="shared" si="2"/>
        <v>----</v>
      </c>
      <c r="I15" s="37">
        <f>G15/((3.14*(B15+2*F15)^2/4-3.14*B15^2/4)/1000000)</f>
        <v>8380.824673147838</v>
      </c>
      <c r="J15" s="38">
        <f>PI()/((1/(2*D15)*LN(B15/(B15-2*C15)))+(1/('Zadání parametrů'!D$14*(B15)/1000)))*('Zadání parametrů'!D$16-'Zadání parametrů'!D$9)</f>
        <v>23.719811529146366</v>
      </c>
      <c r="K15" s="39">
        <f>J15/1000*24*'Zadání parametrů'!$D$6</f>
        <v>124.67132939719329</v>
      </c>
      <c r="L15" s="39">
        <f>K15*'Zadání parametrů'!$D$18</f>
        <v>179.52721700816613</v>
      </c>
      <c r="M15" s="38">
        <f>PI()/((1/(2*D15)*LN(B15/(B15-2*C15)))+(1/(2*E15)*LN((B15+2*F15)/B15))+(1/('Zadání parametrů'!D$14*(B15+2*F15)/1000)))*('Zadání parametrů'!D$16-'Zadání parametrů'!D$9)</f>
        <v>11.702838206480042</v>
      </c>
      <c r="N15" s="39">
        <f>M15/1000*24*'Zadání parametrů'!$D$6</f>
        <v>61.5101176132591</v>
      </c>
      <c r="O15" s="39">
        <f>N15*'Zadání parametrů'!$D$18</f>
        <v>88.57481737258183</v>
      </c>
      <c r="P15" s="40">
        <f>L15-O15</f>
        <v>90.9523996355843</v>
      </c>
      <c r="Q15" s="8">
        <f>G15/P15*365</f>
        <v>28.89423490231718</v>
      </c>
      <c r="R15" s="45">
        <f>(O15*'Zadání parametrů'!$D$4)+G15</f>
        <v>95.77481737258184</v>
      </c>
    </row>
    <row r="16" spans="1:18" ht="12.75">
      <c r="A16" s="12" t="s">
        <v>6</v>
      </c>
      <c r="B16" s="24">
        <f aca="true" t="shared" si="3" ref="B16:C22">B$14</f>
        <v>21.4</v>
      </c>
      <c r="C16" s="61">
        <f t="shared" si="3"/>
        <v>2.65</v>
      </c>
      <c r="D16" s="61">
        <f>D$7</f>
        <v>50</v>
      </c>
      <c r="E16" s="61">
        <f t="shared" si="1"/>
        <v>0.044</v>
      </c>
      <c r="F16" s="29">
        <v>13</v>
      </c>
      <c r="G16" s="13">
        <v>13.2</v>
      </c>
      <c r="H16" s="48" t="str">
        <f t="shared" si="2"/>
        <v>----</v>
      </c>
      <c r="I16" s="37">
        <f>G16/((3.14*(B16+2*F16)^2/4-3.14*B16^2/4)/1000000)</f>
        <v>9400.316762189077</v>
      </c>
      <c r="J16" s="38">
        <f>PI()/((1/(2*D16)*LN(B16/(B16-2*C16)))+(1/('Zadání parametrů'!D$14*(B16)/1000)))*('Zadání parametrů'!D$16-'Zadání parametrů'!D$9)</f>
        <v>23.719811529146366</v>
      </c>
      <c r="K16" s="39">
        <f>J16/1000*24*'Zadání parametrů'!$D$6</f>
        <v>124.67132939719329</v>
      </c>
      <c r="L16" s="39">
        <f>K16*'Zadání parametrů'!$D$18</f>
        <v>179.52721700816613</v>
      </c>
      <c r="M16" s="38">
        <f>PI()/((1/(2*D16)*LN(B16/(B16-2*C16)))+(1/(2*E16)*LN((B16+2*F16)/B16))+(1/('Zadání parametrů'!D$14*(B16+2*F16)/1000)))*('Zadání parametrů'!D$16-'Zadání parametrů'!D$9)</f>
        <v>9.947534064364223</v>
      </c>
      <c r="N16" s="39">
        <f>M16/1000*24*'Zadání parametrů'!$D$6</f>
        <v>52.28423904229836</v>
      </c>
      <c r="O16" s="39">
        <f>N16*'Zadání parametrů'!$D$18</f>
        <v>75.2895150315518</v>
      </c>
      <c r="P16" s="40">
        <f>L16-O16</f>
        <v>104.23770197661433</v>
      </c>
      <c r="Q16" s="8">
        <f>G16/P16*365</f>
        <v>46.221279907733525</v>
      </c>
      <c r="R16" s="45">
        <f>(O16*'Zadání parametrů'!$D$4)+G16</f>
        <v>88.4895150315518</v>
      </c>
    </row>
    <row r="17" spans="1:18" ht="12.75">
      <c r="A17" s="12" t="s">
        <v>6</v>
      </c>
      <c r="B17" s="24">
        <f t="shared" si="3"/>
        <v>21.4</v>
      </c>
      <c r="C17" s="61">
        <f t="shared" si="3"/>
        <v>2.65</v>
      </c>
      <c r="D17" s="61">
        <f>D$7</f>
        <v>50</v>
      </c>
      <c r="E17" s="61">
        <f t="shared" si="1"/>
        <v>0.044</v>
      </c>
      <c r="F17" s="29">
        <v>20</v>
      </c>
      <c r="G17" s="13">
        <v>25.6</v>
      </c>
      <c r="H17" s="48" t="str">
        <f t="shared" si="2"/>
        <v>OPTIMÁLNÍ</v>
      </c>
      <c r="I17" s="37">
        <f>G17/((3.14*(B17+2*F17)^2/4-3.14*B17^2/4)/1000000)</f>
        <v>9846.456814055819</v>
      </c>
      <c r="J17" s="38">
        <f>PI()/((1/(2*D17)*LN(B17/(B17-2*C17)))+(1/('Zadání parametrů'!D$14*(B17)/1000)))*('Zadání parametrů'!D$16-'Zadání parametrů'!D$9)</f>
        <v>23.719811529146366</v>
      </c>
      <c r="K17" s="39">
        <f>J17/1000*24*'Zadání parametrů'!$D$6</f>
        <v>124.67132939719329</v>
      </c>
      <c r="L17" s="39">
        <f>K17*'Zadání parametrů'!$D$18</f>
        <v>179.52721700816613</v>
      </c>
      <c r="M17" s="38">
        <f>PI()/((1/(2*D17)*LN(B17/(B17-2*C17)))+(1/(2*E17)*LN((B17+2*F17)/B17))+(1/('Zadání parametrů'!D$14*(B17+2*F17)/1000)))*('Zadání parametrů'!D$16-'Zadání parametrů'!D$9)</f>
        <v>8.149589101575476</v>
      </c>
      <c r="N17" s="39">
        <f>M17/1000*24*'Zadání parametrů'!$D$6</f>
        <v>42.8342403178807</v>
      </c>
      <c r="O17" s="39">
        <f>N17*'Zadání parametrů'!$D$18</f>
        <v>61.68147876588881</v>
      </c>
      <c r="P17" s="40">
        <f>L17-O17</f>
        <v>117.84573824227732</v>
      </c>
      <c r="Q17" s="8">
        <f>G17/P17*365</f>
        <v>79.2900968619655</v>
      </c>
      <c r="R17" s="45">
        <f>(O17*'Zadání parametrů'!$D$4)+G17</f>
        <v>87.2814787658888</v>
      </c>
    </row>
    <row r="18" spans="1:18" ht="12.75">
      <c r="A18" s="12" t="s">
        <v>6</v>
      </c>
      <c r="B18" s="24">
        <f t="shared" si="3"/>
        <v>21.4</v>
      </c>
      <c r="C18" s="61">
        <f t="shared" si="3"/>
        <v>2.65</v>
      </c>
      <c r="D18" s="61">
        <f>D$7</f>
        <v>50</v>
      </c>
      <c r="E18" s="61">
        <f t="shared" si="1"/>
        <v>0.044</v>
      </c>
      <c r="F18" s="23">
        <v>25</v>
      </c>
      <c r="G18" s="6">
        <v>44</v>
      </c>
      <c r="H18" s="48" t="str">
        <f t="shared" si="2"/>
        <v>----</v>
      </c>
      <c r="I18" s="37">
        <f>G18/((3.14*(B18+2*F18)^2/4-3.14*B18^2/4)/1000000)</f>
        <v>12079.947287502742</v>
      </c>
      <c r="J18" s="38">
        <f>PI()/((1/(2*D18)*LN(B18/(B18-2*C18)))+(1/('Zadání parametrů'!D$14*(B18)/1000)))*('Zadání parametrů'!D$16-'Zadání parametrů'!D$9)</f>
        <v>23.719811529146366</v>
      </c>
      <c r="K18" s="39">
        <f>J18/1000*24*'Zadání parametrů'!$D$6</f>
        <v>124.67132939719329</v>
      </c>
      <c r="L18" s="39">
        <f>K18*'Zadání parametrů'!$D$18</f>
        <v>179.52721700816613</v>
      </c>
      <c r="M18" s="38">
        <f>PI()/((1/(2*D18)*LN(B18/(B18-2*C18)))+(1/(2*E18)*LN((B18+2*F18)/B18))+(1/('Zadání parametrů'!D$14*(B18+2*F18)/1000)))*('Zadání parametrů'!D$16-'Zadání parametrů'!D$9)</f>
        <v>7.347058244214925</v>
      </c>
      <c r="N18" s="39">
        <f>M18/1000*24*'Zadání parametrů'!$D$6</f>
        <v>38.616138131593644</v>
      </c>
      <c r="O18" s="39">
        <f>N18*'Zadání parametrů'!$D$18</f>
        <v>55.60739461019981</v>
      </c>
      <c r="P18" s="40">
        <f>L18-O18</f>
        <v>123.91982239796633</v>
      </c>
      <c r="Q18" s="8">
        <f>G18/P18*365</f>
        <v>129.59992751138387</v>
      </c>
      <c r="R18" s="45">
        <f>(O18*'Zadání parametrů'!$D$4)+G18</f>
        <v>99.6073946101998</v>
      </c>
    </row>
    <row r="19" spans="1:18" ht="12.75">
      <c r="A19" s="4"/>
      <c r="B19" s="24"/>
      <c r="C19" s="61"/>
      <c r="D19" s="61"/>
      <c r="E19" s="61"/>
      <c r="F19" s="23"/>
      <c r="G19" s="6"/>
      <c r="H19" s="48"/>
      <c r="I19" s="37"/>
      <c r="J19" s="38"/>
      <c r="K19" s="39"/>
      <c r="L19" s="39"/>
      <c r="M19" s="38"/>
      <c r="N19" s="39"/>
      <c r="O19" s="39"/>
      <c r="P19" s="40"/>
      <c r="Q19" s="8"/>
      <c r="R19" s="45"/>
    </row>
    <row r="20" spans="1:18" ht="12.75">
      <c r="A20" s="4" t="s">
        <v>15</v>
      </c>
      <c r="B20" s="24">
        <f t="shared" si="3"/>
        <v>21.4</v>
      </c>
      <c r="C20" s="61">
        <f t="shared" si="3"/>
        <v>2.65</v>
      </c>
      <c r="D20" s="61">
        <f>D$7</f>
        <v>50</v>
      </c>
      <c r="E20" s="6">
        <v>0.038</v>
      </c>
      <c r="F20" s="23">
        <v>20</v>
      </c>
      <c r="G20" s="6">
        <v>71</v>
      </c>
      <c r="H20" s="48" t="str">
        <f t="shared" si="2"/>
        <v>----</v>
      </c>
      <c r="I20" s="37">
        <f>G20/((3.14*(B20+2*F20)^2/4-3.14*B20^2/4)/1000000)</f>
        <v>27308.532570232932</v>
      </c>
      <c r="J20" s="38">
        <f>PI()/((1/(2*D20)*LN(B20/(B20-2*C20)))+(1/('Zadání parametrů'!D$14*(B20)/1000)))*('Zadání parametrů'!D$16-'Zadání parametrů'!D$9)</f>
        <v>23.719811529146366</v>
      </c>
      <c r="K20" s="39">
        <f>J20/1000*24*'Zadání parametrů'!$D$6</f>
        <v>124.67132939719329</v>
      </c>
      <c r="L20" s="39">
        <f>K20*'Zadání parametrů'!$D$18</f>
        <v>179.52721700816613</v>
      </c>
      <c r="M20" s="38">
        <f>PI()/((1/(2*D20)*LN(B20/(B20-2*C20)))+(1/(2*E20)*LN((B20+2*F20)/B20))+(1/('Zadání parametrů'!D$14*(B20+2*F20)/1000)))*('Zadání parametrů'!D$16-'Zadání parametrů'!D$9)</f>
        <v>7.155254957203315</v>
      </c>
      <c r="N20" s="39">
        <f>M20/1000*24*'Zadání parametrů'!$D$6</f>
        <v>37.60802005506062</v>
      </c>
      <c r="O20" s="39">
        <f>N20*'Zadání parametrů'!$D$18</f>
        <v>54.15570051524879</v>
      </c>
      <c r="P20" s="40">
        <f>L20-O20</f>
        <v>125.37151649291735</v>
      </c>
      <c r="Q20" s="8">
        <f>G20/P20*365</f>
        <v>206.705643553925</v>
      </c>
      <c r="R20" s="45">
        <f>(O20*'Zadání parametrů'!$D$4)+G20</f>
        <v>125.15570051524878</v>
      </c>
    </row>
    <row r="21" spans="1:18" ht="12.75">
      <c r="A21" s="4" t="s">
        <v>15</v>
      </c>
      <c r="B21" s="24">
        <f t="shared" si="3"/>
        <v>21.4</v>
      </c>
      <c r="C21" s="61">
        <f t="shared" si="3"/>
        <v>2.65</v>
      </c>
      <c r="D21" s="61">
        <f>D$7</f>
        <v>50</v>
      </c>
      <c r="E21" s="61">
        <f t="shared" si="1"/>
        <v>0.038</v>
      </c>
      <c r="F21" s="23">
        <v>25</v>
      </c>
      <c r="G21" s="6">
        <v>74</v>
      </c>
      <c r="H21" s="48" t="str">
        <f t="shared" si="2"/>
        <v>----</v>
      </c>
      <c r="I21" s="37">
        <f>G21/((3.14*(B21+2*F21)^2/4-3.14*B21^2/4)/1000000)</f>
        <v>20316.27498352734</v>
      </c>
      <c r="J21" s="38">
        <f>PI()/((1/(2*D21)*LN(B21/(B21-2*C21)))+(1/('Zadání parametrů'!D$14*(B21)/1000)))*('Zadání parametrů'!D$16-'Zadání parametrů'!D$9)</f>
        <v>23.719811529146366</v>
      </c>
      <c r="K21" s="39">
        <f>J21/1000*24*'Zadání parametrů'!$D$6</f>
        <v>124.67132939719329</v>
      </c>
      <c r="L21" s="39">
        <f>K21*'Zadání parametrů'!$D$18</f>
        <v>179.52721700816613</v>
      </c>
      <c r="M21" s="38">
        <f>PI()/((1/(2*D21)*LN(B21/(B21-2*C21)))+(1/(2*E21)*LN((B21+2*F21)/B21))+(1/('Zadání parametrů'!D$14*(B21+2*F21)/1000)))*('Zadání parametrů'!D$16-'Zadání parametrů'!D$9)</f>
        <v>6.4266606349862485</v>
      </c>
      <c r="N21" s="39">
        <f>M21/1000*24*'Zadání parametrů'!$D$6</f>
        <v>33.77852829748772</v>
      </c>
      <c r="O21" s="39">
        <f>N21*'Zadání parametrů'!$D$18</f>
        <v>48.6412169437898</v>
      </c>
      <c r="P21" s="40">
        <f>L21-O21</f>
        <v>130.88600006437633</v>
      </c>
      <c r="Q21" s="8">
        <f>G21/P21*365</f>
        <v>206.36278889044758</v>
      </c>
      <c r="R21" s="45">
        <f>(O21*'Zadání parametrů'!$D$4)+G21</f>
        <v>122.6412169437898</v>
      </c>
    </row>
    <row r="22" spans="1:18" ht="12.75">
      <c r="A22" s="4" t="s">
        <v>15</v>
      </c>
      <c r="B22" s="24">
        <f t="shared" si="3"/>
        <v>21.4</v>
      </c>
      <c r="C22" s="61">
        <f t="shared" si="3"/>
        <v>2.65</v>
      </c>
      <c r="D22" s="61">
        <f>D$7</f>
        <v>50</v>
      </c>
      <c r="E22" s="61">
        <f t="shared" si="1"/>
        <v>0.038</v>
      </c>
      <c r="F22" s="23">
        <v>30</v>
      </c>
      <c r="G22" s="6">
        <v>79</v>
      </c>
      <c r="H22" s="48" t="str">
        <f>IF(R22=R$23,"OPTIMÁLNÍ","----")</f>
        <v>----</v>
      </c>
      <c r="I22" s="37">
        <f>G22/((3.14*(B22+2*F22)^2/4-3.14*B22^2/4)/1000000)</f>
        <v>16315.976438903894</v>
      </c>
      <c r="J22" s="38">
        <f>PI()/((1/(2*D22)*LN(B22/(B22-2*C22)))+(1/('Zadání parametrů'!D$14*(B22)/1000)))*('Zadání parametrů'!D$16-'Zadání parametrů'!D$9)</f>
        <v>23.719811529146366</v>
      </c>
      <c r="K22" s="39">
        <f>J22/1000*24*'Zadání parametrů'!$D$6</f>
        <v>124.67132939719329</v>
      </c>
      <c r="L22" s="39">
        <f>K22*'Zadání parametrů'!$D$18</f>
        <v>179.52721700816613</v>
      </c>
      <c r="M22" s="38">
        <f>PI()/((1/(2*D22)*LN(B22/(B22-2*C22)))+(1/(2*E22)*LN((B22+2*F22)/B22))+(1/('Zadání parametrů'!D$14*(B22+2*F22)/1000)))*('Zadání parametrů'!D$16-'Zadání parametrů'!D$9)</f>
        <v>5.896183912583972</v>
      </c>
      <c r="N22" s="39">
        <f>M22/1000*24*'Zadání parametrů'!$D$6</f>
        <v>30.990342644541357</v>
      </c>
      <c r="O22" s="39">
        <f>N22*'Zadání parametrů'!$D$18</f>
        <v>44.62621836155101</v>
      </c>
      <c r="P22" s="40">
        <f>L22-O22</f>
        <v>134.9009986466151</v>
      </c>
      <c r="Q22" s="8">
        <f>G22/P22*365</f>
        <v>213.74934425456544</v>
      </c>
      <c r="R22" s="45">
        <f>(O22*'Zadání parametrů'!$D$4)+G22</f>
        <v>123.62621836155101</v>
      </c>
    </row>
    <row r="23" spans="1:18" ht="15.75" customHeight="1">
      <c r="A23" s="42"/>
      <c r="B23" s="22"/>
      <c r="C23" s="25"/>
      <c r="D23" s="30"/>
      <c r="E23" s="30"/>
      <c r="F23" s="22"/>
      <c r="G23" s="25"/>
      <c r="H23" s="22"/>
      <c r="I23" s="31"/>
      <c r="J23" s="31"/>
      <c r="K23" s="33"/>
      <c r="L23" s="33"/>
      <c r="M23" s="33"/>
      <c r="N23" s="33"/>
      <c r="O23" s="49" t="s">
        <v>60</v>
      </c>
      <c r="P23" s="34"/>
      <c r="Q23" s="8"/>
      <c r="R23" s="47">
        <f>MIN(R14:R22)</f>
        <v>87.2814787658888</v>
      </c>
    </row>
    <row r="24" spans="1:18" ht="21.75" customHeight="1">
      <c r="A24" s="41" t="s">
        <v>67</v>
      </c>
      <c r="B24" s="22"/>
      <c r="C24" s="42"/>
      <c r="D24" s="30"/>
      <c r="E24" s="30"/>
      <c r="F24" s="22"/>
      <c r="G24" s="25"/>
      <c r="H24" s="22"/>
      <c r="I24" s="31"/>
      <c r="J24" s="31"/>
      <c r="K24" s="33"/>
      <c r="L24" s="33"/>
      <c r="M24" s="33"/>
      <c r="N24" s="33"/>
      <c r="O24" s="33"/>
      <c r="P24" s="34"/>
      <c r="Q24" s="35"/>
      <c r="R24" s="43"/>
    </row>
    <row r="25" spans="1:19" s="18" customFormat="1" ht="12.75">
      <c r="A25" s="4" t="s">
        <v>6</v>
      </c>
      <c r="B25" s="23">
        <v>26.9</v>
      </c>
      <c r="C25" s="6">
        <v>2.65</v>
      </c>
      <c r="D25" s="61">
        <f aca="true" t="shared" si="4" ref="D25:D71">D$7</f>
        <v>50</v>
      </c>
      <c r="E25" s="6">
        <v>0.044</v>
      </c>
      <c r="F25" s="23">
        <v>6</v>
      </c>
      <c r="G25" s="6">
        <v>5.4</v>
      </c>
      <c r="H25" s="48" t="str">
        <f>IF(R25=R$34,"OPTIMÁLNÍ","----")</f>
        <v>----</v>
      </c>
      <c r="I25" s="37">
        <f>G25/((3.14*(B25+2*F25)^2/4-3.14*B25^2/4)/1000000)</f>
        <v>8711.981879077694</v>
      </c>
      <c r="J25" s="38">
        <f>PI()/((1/(2*D25)*LN(B25/(B25-2*C25)))+(1/('Zadání parametrů'!D$14*(B25)/1000)))*('Zadání parametrů'!D$16-'Zadání parametrů'!D$9)</f>
        <v>29.816582260720413</v>
      </c>
      <c r="K25" s="39">
        <f>J25/1000*24*'Zadání parametrů'!$D$6</f>
        <v>156.71595636234647</v>
      </c>
      <c r="L25" s="39">
        <f>K25*'Zadání parametrů'!$D$18</f>
        <v>225.67160904228444</v>
      </c>
      <c r="M25" s="38">
        <f>PI()/((1/(2*D25)*LN(B25/(B25-2*C25)))+(1/(2*E25)*LN((B25+2*F25)/B25))+(1/('Zadání parametrů'!D$14*(B25+2*F25)/1000)))*('Zadání parametrů'!D$16-'Zadání parametrů'!D$9)</f>
        <v>16.395387067567874</v>
      </c>
      <c r="N25" s="39">
        <f>M25/1000*24*'Zadání parametrů'!$D$6</f>
        <v>86.17415442713676</v>
      </c>
      <c r="O25" s="39">
        <f>N25*'Zadání parametrů'!$D$18</f>
        <v>124.09112983024058</v>
      </c>
      <c r="P25" s="40">
        <f>L25-O25</f>
        <v>101.58047921204387</v>
      </c>
      <c r="Q25" s="8">
        <f>G25/P25*365</f>
        <v>19.403334334401418</v>
      </c>
      <c r="R25" s="45">
        <f>(O25*'Zadání parametrů'!$D$4)+G25</f>
        <v>129.49112983024057</v>
      </c>
      <c r="S25" s="46"/>
    </row>
    <row r="26" spans="1:18" ht="12.75">
      <c r="A26" s="4" t="s">
        <v>6</v>
      </c>
      <c r="B26" s="24">
        <f>B$25</f>
        <v>26.9</v>
      </c>
      <c r="C26" s="61">
        <f>C$25</f>
        <v>2.65</v>
      </c>
      <c r="D26" s="61">
        <f t="shared" si="4"/>
        <v>50</v>
      </c>
      <c r="E26" s="61">
        <f t="shared" si="1"/>
        <v>0.044</v>
      </c>
      <c r="F26" s="23">
        <v>9</v>
      </c>
      <c r="G26" s="6">
        <v>8.4</v>
      </c>
      <c r="H26" s="48" t="str">
        <f aca="true" t="shared" si="5" ref="H26:H33">IF(R26=R$34,"OPTIMÁLNÍ","----")</f>
        <v>----</v>
      </c>
      <c r="I26" s="37">
        <f>G26/((3.14*(B26+2*F26)^2/4-3.14*B26^2/4)/1000000)</f>
        <v>8279.663372543453</v>
      </c>
      <c r="J26" s="38">
        <f>PI()/((1/(2*D26)*LN(B26/(B26-2*C26)))+(1/('Zadání parametrů'!D$14*(B26)/1000)))*('Zadání parametrů'!D$16-'Zadání parametrů'!D$9)</f>
        <v>29.816582260720413</v>
      </c>
      <c r="K26" s="39">
        <f>J26/1000*24*'Zadání parametrů'!$D$6</f>
        <v>156.71595636234647</v>
      </c>
      <c r="L26" s="39">
        <f>K26*'Zadání parametrů'!$D$18</f>
        <v>225.67160904228444</v>
      </c>
      <c r="M26" s="38">
        <f>PI()/((1/(2*D26)*LN(B26/(B26-2*C26)))+(1/(2*E26)*LN((B26+2*F26)/B26))+(1/('Zadání parametrů'!D$14*(B26+2*F26)/1000)))*('Zadání parametrů'!D$16-'Zadání parametrů'!D$9)</f>
        <v>13.775498102079476</v>
      </c>
      <c r="N26" s="39">
        <f>M26/1000*24*'Zadání parametrů'!$D$6</f>
        <v>72.40401802452973</v>
      </c>
      <c r="O26" s="39">
        <f>N26*'Zadání parametrů'!$D$18</f>
        <v>104.26207788914101</v>
      </c>
      <c r="P26" s="40">
        <f>L26-O26</f>
        <v>121.40953115314343</v>
      </c>
      <c r="Q26" s="8">
        <f>G26/P26*365</f>
        <v>25.253371550645493</v>
      </c>
      <c r="R26" s="45">
        <f>(O26*'Zadání parametrů'!$D$4)+G26</f>
        <v>112.66207788914102</v>
      </c>
    </row>
    <row r="27" spans="1:18" ht="12.75">
      <c r="A27" s="4" t="s">
        <v>6</v>
      </c>
      <c r="B27" s="24">
        <f aca="true" t="shared" si="6" ref="B27:C33">B$25</f>
        <v>26.9</v>
      </c>
      <c r="C27" s="61">
        <f t="shared" si="6"/>
        <v>2.65</v>
      </c>
      <c r="D27" s="61">
        <f t="shared" si="4"/>
        <v>50</v>
      </c>
      <c r="E27" s="61">
        <f t="shared" si="1"/>
        <v>0.044</v>
      </c>
      <c r="F27" s="29">
        <v>13</v>
      </c>
      <c r="G27" s="6">
        <v>15.9</v>
      </c>
      <c r="H27" s="48" t="str">
        <f t="shared" si="5"/>
        <v>----</v>
      </c>
      <c r="I27" s="37">
        <f>G27/((3.14*(B27+2*F27)^2/4-3.14*B27^2/4)/1000000)</f>
        <v>9762.279289600776</v>
      </c>
      <c r="J27" s="38">
        <f>PI()/((1/(2*D27)*LN(B27/(B27-2*C27)))+(1/('Zadání parametrů'!D$14*(B27)/1000)))*('Zadání parametrů'!D$16-'Zadání parametrů'!D$9)</f>
        <v>29.816582260720413</v>
      </c>
      <c r="K27" s="39">
        <f>J27/1000*24*'Zadání parametrů'!$D$6</f>
        <v>156.71595636234647</v>
      </c>
      <c r="L27" s="39">
        <f>K27*'Zadání parametrů'!$D$18</f>
        <v>225.67160904228444</v>
      </c>
      <c r="M27" s="38">
        <f>PI()/((1/(2*D27)*LN(B27/(B27-2*C27)))+(1/(2*E27)*LN((B27+2*F27)/B27))+(1/('Zadání parametrů'!D$14*(B27+2*F27)/1000)))*('Zadání parametrů'!D$16-'Zadání parametrů'!D$9)</f>
        <v>11.580006164364045</v>
      </c>
      <c r="N27" s="39">
        <f>M27/1000*24*'Zadání parametrů'!$D$6</f>
        <v>60.86451239989742</v>
      </c>
      <c r="O27" s="39">
        <f>N27*'Zadání parametrů'!$D$18</f>
        <v>87.6451432622535</v>
      </c>
      <c r="P27" s="40">
        <f>L27-O27</f>
        <v>138.02646578003095</v>
      </c>
      <c r="Q27" s="8">
        <f>G27/P27*365</f>
        <v>42.046284147048155</v>
      </c>
      <c r="R27" s="45">
        <f>(O27*'Zadání parametrů'!$D$4)+G27</f>
        <v>103.5451432622535</v>
      </c>
    </row>
    <row r="28" spans="1:18" ht="12.75">
      <c r="A28" s="4" t="s">
        <v>6</v>
      </c>
      <c r="B28" s="24">
        <f t="shared" si="6"/>
        <v>26.9</v>
      </c>
      <c r="C28" s="61">
        <f t="shared" si="6"/>
        <v>2.65</v>
      </c>
      <c r="D28" s="61">
        <f t="shared" si="4"/>
        <v>50</v>
      </c>
      <c r="E28" s="61">
        <f t="shared" si="1"/>
        <v>0.044</v>
      </c>
      <c r="F28" s="23">
        <v>20</v>
      </c>
      <c r="G28" s="13">
        <v>29.8</v>
      </c>
      <c r="H28" s="48" t="str">
        <f t="shared" si="5"/>
        <v>OPTIMÁLNÍ</v>
      </c>
      <c r="I28" s="37">
        <f>G28/((3.14*(B28+2*F28)^2/4-3.14*B28^2/4)/1000000)</f>
        <v>10117.746119267174</v>
      </c>
      <c r="J28" s="38">
        <f>PI()/((1/(2*D28)*LN(B28/(B28-2*C28)))+(1/('Zadání parametrů'!D$14*(B28)/1000)))*('Zadání parametrů'!D$16-'Zadání parametrů'!D$9)</f>
        <v>29.816582260720413</v>
      </c>
      <c r="K28" s="39">
        <f>J28/1000*24*'Zadání parametrů'!$D$6</f>
        <v>156.71595636234647</v>
      </c>
      <c r="L28" s="39">
        <f>K28*'Zadání parametrů'!$D$18</f>
        <v>225.67160904228444</v>
      </c>
      <c r="M28" s="38">
        <f>PI()/((1/(2*D28)*LN(B28/(B28-2*C28)))+(1/(2*E28)*LN((B28+2*F28)/B28))+(1/('Zadání parametrů'!D$14*(B28+2*F28)/1000)))*('Zadání parametrů'!D$16-'Zadání parametrů'!D$9)</f>
        <v>9.359254606453957</v>
      </c>
      <c r="N28" s="39">
        <f>M28/1000*24*'Zadání parametrů'!$D$6</f>
        <v>49.192242211522</v>
      </c>
      <c r="O28" s="39">
        <f>N28*'Zadání parametrů'!$D$18</f>
        <v>70.8370271282677</v>
      </c>
      <c r="P28" s="40">
        <f>L28-O28</f>
        <v>154.83458191401672</v>
      </c>
      <c r="Q28" s="8">
        <f>G28/P28*365</f>
        <v>70.24916440204717</v>
      </c>
      <c r="R28" s="45">
        <f>(O28*'Zadání parametrů'!$D$4)+G28</f>
        <v>100.6370271282677</v>
      </c>
    </row>
    <row r="29" spans="1:18" ht="12.75">
      <c r="A29" s="4" t="s">
        <v>6</v>
      </c>
      <c r="B29" s="24">
        <f t="shared" si="6"/>
        <v>26.9</v>
      </c>
      <c r="C29" s="61">
        <f t="shared" si="6"/>
        <v>2.65</v>
      </c>
      <c r="D29" s="61">
        <f t="shared" si="4"/>
        <v>50</v>
      </c>
      <c r="E29" s="61">
        <f t="shared" si="1"/>
        <v>0.044</v>
      </c>
      <c r="F29" s="23">
        <v>25</v>
      </c>
      <c r="G29" s="6">
        <v>48</v>
      </c>
      <c r="H29" s="48" t="str">
        <f t="shared" si="5"/>
        <v>----</v>
      </c>
      <c r="I29" s="37">
        <f>G29/((3.14*(B29+2*F29)^2/4-3.14*B29^2/4)/1000000)</f>
        <v>11781.598615662162</v>
      </c>
      <c r="J29" s="38">
        <f>PI()/((1/(2*D29)*LN(B29/(B29-2*C29)))+(1/('Zadání parametrů'!D$14*(B29)/1000)))*('Zadání parametrů'!D$16-'Zadání parametrů'!D$9)</f>
        <v>29.816582260720413</v>
      </c>
      <c r="K29" s="39">
        <f>J29/1000*24*'Zadání parametrů'!$D$6</f>
        <v>156.71595636234647</v>
      </c>
      <c r="L29" s="39">
        <f>K29*'Zadání parametrů'!$D$18</f>
        <v>225.67160904228444</v>
      </c>
      <c r="M29" s="38">
        <f>PI()/((1/(2*D29)*LN(B29/(B29-2*C29)))+(1/(2*E29)*LN((B29+2*F29)/B29))+(1/('Zadání parametrů'!D$14*(B29+2*F29)/1000)))*('Zadání parametrů'!D$16-'Zadání parametrů'!D$9)</f>
        <v>8.377529919902912</v>
      </c>
      <c r="N29" s="39">
        <f>M29/1000*24*'Zadání parametrů'!$D$6</f>
        <v>44.03229725900971</v>
      </c>
      <c r="O29" s="39">
        <f>N29*'Zadání parametrů'!$D$18</f>
        <v>63.4066855916937</v>
      </c>
      <c r="P29" s="40">
        <f>L29-O29</f>
        <v>162.26492345059074</v>
      </c>
      <c r="Q29" s="8">
        <f>G29/P29*365</f>
        <v>107.9715789921461</v>
      </c>
      <c r="R29" s="45">
        <f>(O29*'Zadání parametrů'!$D$4)+G29</f>
        <v>111.4066855916937</v>
      </c>
    </row>
    <row r="30" spans="1:18" ht="12.75">
      <c r="A30" s="4"/>
      <c r="B30" s="24"/>
      <c r="C30" s="61"/>
      <c r="D30" s="61"/>
      <c r="E30" s="61"/>
      <c r="F30" s="23"/>
      <c r="G30" s="6"/>
      <c r="H30" s="48"/>
      <c r="I30" s="37"/>
      <c r="J30" s="38"/>
      <c r="K30" s="39"/>
      <c r="L30" s="39"/>
      <c r="M30" s="38"/>
      <c r="N30" s="39"/>
      <c r="O30" s="39"/>
      <c r="P30" s="40"/>
      <c r="Q30" s="8"/>
      <c r="R30" s="45"/>
    </row>
    <row r="31" spans="1:18" ht="12.75">
      <c r="A31" s="4" t="s">
        <v>15</v>
      </c>
      <c r="B31" s="24">
        <f t="shared" si="6"/>
        <v>26.9</v>
      </c>
      <c r="C31" s="61">
        <f t="shared" si="6"/>
        <v>2.65</v>
      </c>
      <c r="D31" s="61">
        <f t="shared" si="4"/>
        <v>50</v>
      </c>
      <c r="E31" s="6">
        <v>0.038</v>
      </c>
      <c r="F31" s="23">
        <v>20</v>
      </c>
      <c r="G31" s="6">
        <v>72</v>
      </c>
      <c r="H31" s="48" t="str">
        <f>IF(R31=R$34,"OPTIMÁLNÍ","----")</f>
        <v>----</v>
      </c>
      <c r="I31" s="37">
        <f>G31/((3.14*(B31+2*F31)^2/4-3.14*B31^2/4)/1000000)</f>
        <v>24445.56109353143</v>
      </c>
      <c r="J31" s="38">
        <f>PI()/((1/(2*D31)*LN(B31/(B31-2*C31)))+(1/('Zadání parametrů'!D$14*(B31)/1000)))*('Zadání parametrů'!D$16-'Zadání parametrů'!D$9)</f>
        <v>29.816582260720413</v>
      </c>
      <c r="K31" s="39">
        <f>J31/1000*24*'Zadání parametrů'!$D$6</f>
        <v>156.71595636234647</v>
      </c>
      <c r="L31" s="39">
        <f>K31*'Zadání parametrů'!$D$18</f>
        <v>225.67160904228444</v>
      </c>
      <c r="M31" s="38">
        <f>PI()/((1/(2*D31)*LN(B31/(B31-2*C31)))+(1/(2*E31)*LN((B31+2*F31)/B31))+(1/('Zadání parametrů'!D$14*(B31+2*F31)/1000)))*('Zadání parametrů'!D$16-'Zadání parametrů'!D$9)</f>
        <v>8.22467228638051</v>
      </c>
      <c r="N31" s="39">
        <f>M31/1000*24*'Zadání parametrů'!$D$6</f>
        <v>43.22887753721596</v>
      </c>
      <c r="O31" s="39">
        <f>N31*'Zadání parametrů'!$D$18</f>
        <v>62.249757952913306</v>
      </c>
      <c r="P31" s="40">
        <f>L31-O31</f>
        <v>163.42185108937113</v>
      </c>
      <c r="Q31" s="8">
        <f>G31/P31*365</f>
        <v>160.81080849848016</v>
      </c>
      <c r="R31" s="45">
        <f>(O31*'Zadání parametrů'!$D$4)+G31</f>
        <v>134.2497579529133</v>
      </c>
    </row>
    <row r="32" spans="1:18" ht="12.75">
      <c r="A32" s="4" t="s">
        <v>15</v>
      </c>
      <c r="B32" s="24">
        <f t="shared" si="6"/>
        <v>26.9</v>
      </c>
      <c r="C32" s="61">
        <f t="shared" si="6"/>
        <v>2.65</v>
      </c>
      <c r="D32" s="61">
        <f t="shared" si="4"/>
        <v>50</v>
      </c>
      <c r="E32" s="61">
        <f t="shared" si="1"/>
        <v>0.038</v>
      </c>
      <c r="F32" s="23">
        <v>25</v>
      </c>
      <c r="G32" s="6">
        <v>76</v>
      </c>
      <c r="H32" s="48" t="str">
        <f>IF(R32=R$34,"OPTIMÁLNÍ","----")</f>
        <v>----</v>
      </c>
      <c r="I32" s="37">
        <f>G32/((3.14*(B32+2*F32)^2/4-3.14*B32^2/4)/1000000)</f>
        <v>18654.197808131757</v>
      </c>
      <c r="J32" s="38">
        <f>PI()/((1/(2*D32)*LN(B32/(B32-2*C32)))+(1/('Zadání parametrů'!D$14*(B32)/1000)))*('Zadání parametrů'!D$16-'Zadání parametrů'!D$9)</f>
        <v>29.816582260720413</v>
      </c>
      <c r="K32" s="39">
        <f>J32/1000*24*'Zadání parametrů'!$D$6</f>
        <v>156.71595636234647</v>
      </c>
      <c r="L32" s="39">
        <f>K32*'Zadání parametrů'!$D$18</f>
        <v>225.67160904228444</v>
      </c>
      <c r="M32" s="38">
        <f>PI()/((1/(2*D32)*LN(B32/(B32-2*C32)))+(1/(2*E32)*LN((B32+2*F32)/B32))+(1/('Zadání parametrů'!D$14*(B32+2*F32)/1000)))*('Zadání parametrů'!D$16-'Zadání parametrů'!D$9)</f>
        <v>7.33353422355979</v>
      </c>
      <c r="N32" s="39">
        <f>M32/1000*24*'Zadání parametrů'!$D$6</f>
        <v>38.54505587903025</v>
      </c>
      <c r="O32" s="39">
        <f>N32*'Zadání parametrů'!$D$18</f>
        <v>55.50503587990408</v>
      </c>
      <c r="P32" s="40">
        <f>L32-O32</f>
        <v>170.16657316238036</v>
      </c>
      <c r="Q32" s="8">
        <f>G32/P32*365</f>
        <v>163.01673991829924</v>
      </c>
      <c r="R32" s="45">
        <f>(O32*'Zadání parametrů'!$D$4)+G32</f>
        <v>131.50503587990409</v>
      </c>
    </row>
    <row r="33" spans="1:18" ht="12.75">
      <c r="A33" s="4" t="s">
        <v>15</v>
      </c>
      <c r="B33" s="24">
        <f t="shared" si="6"/>
        <v>26.9</v>
      </c>
      <c r="C33" s="61">
        <f t="shared" si="6"/>
        <v>2.65</v>
      </c>
      <c r="D33" s="61">
        <f t="shared" si="4"/>
        <v>50</v>
      </c>
      <c r="E33" s="61">
        <f t="shared" si="1"/>
        <v>0.038</v>
      </c>
      <c r="F33" s="23">
        <v>30</v>
      </c>
      <c r="G33" s="6">
        <v>81</v>
      </c>
      <c r="H33" s="48" t="str">
        <f t="shared" si="5"/>
        <v>----</v>
      </c>
      <c r="I33" s="37">
        <f>G33/((3.14*(B33+2*F33)^2/4-3.14*B33^2/4)/1000000)</f>
        <v>15111.9966865548</v>
      </c>
      <c r="J33" s="38">
        <f>PI()/((1/(2*D33)*LN(B33/(B33-2*C33)))+(1/('Zadání parametrů'!D$14*(B33)/1000)))*('Zadání parametrů'!D$16-'Zadání parametrů'!D$9)</f>
        <v>29.816582260720413</v>
      </c>
      <c r="K33" s="39">
        <f>J33/1000*24*'Zadání parametrů'!$D$6</f>
        <v>156.71595636234647</v>
      </c>
      <c r="L33" s="39">
        <f>K33*'Zadání parametrů'!$D$18</f>
        <v>225.67160904228444</v>
      </c>
      <c r="M33" s="38">
        <f>PI()/((1/(2*D33)*LN(B33/(B33-2*C33)))+(1/(2*E33)*LN((B33+2*F33)/B33))+(1/('Zadání parametrů'!D$14*(B33+2*F33)/1000)))*('Zadání parametrů'!D$16-'Zadání parametrů'!D$9)</f>
        <v>6.688317737582211</v>
      </c>
      <c r="N33" s="39">
        <f>M33/1000*24*'Zadání parametrů'!$D$6</f>
        <v>35.1537980287321</v>
      </c>
      <c r="O33" s="39">
        <f>N33*'Zadání parametrů'!$D$18</f>
        <v>50.62161090188479</v>
      </c>
      <c r="P33" s="40">
        <f>L33-O33</f>
        <v>175.04999814039965</v>
      </c>
      <c r="Q33" s="8">
        <f>G33/P33*365</f>
        <v>168.89460333662646</v>
      </c>
      <c r="R33" s="45">
        <f>(O33*'Zadání parametrů'!$D$4)+G33</f>
        <v>131.6216109018848</v>
      </c>
    </row>
    <row r="34" spans="1:18" ht="15.75" customHeight="1">
      <c r="A34" s="42"/>
      <c r="B34" s="22"/>
      <c r="C34" s="25"/>
      <c r="D34" s="30"/>
      <c r="E34" s="30"/>
      <c r="F34" s="22"/>
      <c r="G34" s="25"/>
      <c r="H34" s="22"/>
      <c r="I34" s="31"/>
      <c r="J34" s="31"/>
      <c r="K34" s="33"/>
      <c r="L34" s="33"/>
      <c r="M34" s="33"/>
      <c r="N34" s="33"/>
      <c r="O34" s="49" t="s">
        <v>60</v>
      </c>
      <c r="P34" s="34"/>
      <c r="Q34" s="8"/>
      <c r="R34" s="47">
        <f>MIN(R25:R33)</f>
        <v>100.6370271282677</v>
      </c>
    </row>
    <row r="35" spans="1:18" ht="21.75" customHeight="1">
      <c r="A35" s="41" t="s">
        <v>68</v>
      </c>
      <c r="B35" s="22"/>
      <c r="C35" s="42"/>
      <c r="D35" s="30"/>
      <c r="E35" s="30"/>
      <c r="F35" s="22"/>
      <c r="G35" s="25"/>
      <c r="H35" s="22"/>
      <c r="I35" s="31"/>
      <c r="J35" s="31"/>
      <c r="K35" s="33"/>
      <c r="L35" s="33"/>
      <c r="M35" s="33"/>
      <c r="N35" s="33"/>
      <c r="O35" s="33"/>
      <c r="P35" s="34"/>
      <c r="Q35" s="35"/>
      <c r="R35" s="43"/>
    </row>
    <row r="36" spans="1:18" ht="12.75">
      <c r="A36" s="4" t="s">
        <v>6</v>
      </c>
      <c r="B36" s="23">
        <v>33.7</v>
      </c>
      <c r="C36" s="6">
        <v>3.25</v>
      </c>
      <c r="D36" s="61">
        <f t="shared" si="4"/>
        <v>50</v>
      </c>
      <c r="E36" s="6">
        <v>0.044</v>
      </c>
      <c r="F36" s="23">
        <v>6</v>
      </c>
      <c r="G36" s="6">
        <v>6.3</v>
      </c>
      <c r="H36" s="48" t="str">
        <f>IF(R36=R$46,"OPTIMÁLNÍ","----")</f>
        <v>----</v>
      </c>
      <c r="I36" s="37">
        <f>G36/((3.14*(B36+2*F36)^2/4-3.14*B36^2/4)/1000000)</f>
        <v>8423.045452357648</v>
      </c>
      <c r="J36" s="38">
        <f>PI()/((1/(2*D36)*LN(B36/(B36-2*C36)))+(1/('Zadání parametrů'!D$14*(B36)/1000)))*('Zadání parametrů'!D$16-'Zadání parametrů'!D$9)</f>
        <v>37.348937940590204</v>
      </c>
      <c r="K36" s="39">
        <f>J36/1000*24*'Zadání parametrů'!$D$6</f>
        <v>196.3060178157421</v>
      </c>
      <c r="L36" s="39">
        <f>K36*'Zadání parametrů'!$D$18</f>
        <v>282.681457162749</v>
      </c>
      <c r="M36" s="38">
        <f>PI()/((1/(2*D36)*LN(B36/(B36-2*C36)))+(1/(2*E36)*LN((B36+2*F36)/B36))+(1/('Zadání parametrů'!D$14*(B36+2*F36)/1000)))*('Zadání parametrů'!D$16-'Zadání parametrů'!D$9)</f>
        <v>19.623799783031924</v>
      </c>
      <c r="N36" s="39">
        <f>M36/1000*24*'Zadání parametrů'!$D$6</f>
        <v>103.14269165961579</v>
      </c>
      <c r="O36" s="39">
        <f>N36*'Zadání parametrů'!$D$18</f>
        <v>148.5258918623441</v>
      </c>
      <c r="P36" s="40">
        <f>L36-O36</f>
        <v>134.15556530040487</v>
      </c>
      <c r="Q36" s="8">
        <f>G36/P36*365</f>
        <v>17.140548696961588</v>
      </c>
      <c r="R36" s="45">
        <f>(O36*'Zadání parametrů'!$D$4)+G36</f>
        <v>154.82589186234412</v>
      </c>
    </row>
    <row r="37" spans="1:18" ht="12.75">
      <c r="A37" s="4" t="s">
        <v>6</v>
      </c>
      <c r="B37" s="24">
        <f>B$36</f>
        <v>33.7</v>
      </c>
      <c r="C37" s="61">
        <f>C$36</f>
        <v>3.25</v>
      </c>
      <c r="D37" s="61">
        <f t="shared" si="4"/>
        <v>50</v>
      </c>
      <c r="E37" s="61">
        <f t="shared" si="1"/>
        <v>0.044</v>
      </c>
      <c r="F37" s="23">
        <v>9</v>
      </c>
      <c r="G37" s="6">
        <v>9.9</v>
      </c>
      <c r="H37" s="48" t="str">
        <f aca="true" t="shared" si="7" ref="H37:H45">IF(R37=R$46,"OPTIMÁLNÍ","----")</f>
        <v>----</v>
      </c>
      <c r="I37" s="37">
        <f>G37/((3.14*(B37+2*F37)^2/4-3.14*B37^2/4)/1000000)</f>
        <v>8204.179656617789</v>
      </c>
      <c r="J37" s="38">
        <f>PI()/((1/(2*D37)*LN(B37/(B37-2*C37)))+(1/('Zadání parametrů'!D$14*(B37)/1000)))*('Zadání parametrů'!D$16-'Zadání parametrů'!D$9)</f>
        <v>37.348937940590204</v>
      </c>
      <c r="K37" s="39">
        <f>J37/1000*24*'Zadání parametrů'!$D$6</f>
        <v>196.3060178157421</v>
      </c>
      <c r="L37" s="39">
        <f>K37*'Zadání parametrů'!$D$18</f>
        <v>282.681457162749</v>
      </c>
      <c r="M37" s="38">
        <f>PI()/((1/(2*D37)*LN(B37/(B37-2*C37)))+(1/(2*E37)*LN((B37+2*F37)/B37))+(1/('Zadání parametrů'!D$14*(B37+2*F37)/1000)))*('Zadání parametrů'!D$16-'Zadání parametrů'!D$9)</f>
        <v>16.311017353292005</v>
      </c>
      <c r="N37" s="39">
        <f>M37/1000*24*'Zadání parametrů'!$D$6</f>
        <v>85.73070720890277</v>
      </c>
      <c r="O37" s="39">
        <f>N37*'Zadání parametrů'!$D$18</f>
        <v>123.45256404799945</v>
      </c>
      <c r="P37" s="40">
        <f>L37-O37</f>
        <v>159.22889311474955</v>
      </c>
      <c r="Q37" s="8">
        <f>G37/P37*365</f>
        <v>22.693745647003293</v>
      </c>
      <c r="R37" s="45">
        <f>(O37*'Zadání parametrů'!$D$4)+G37</f>
        <v>133.35256404799944</v>
      </c>
    </row>
    <row r="38" spans="1:18" ht="12.75">
      <c r="A38" s="4" t="s">
        <v>6</v>
      </c>
      <c r="B38" s="24">
        <f aca="true" t="shared" si="8" ref="B38:C45">B$36</f>
        <v>33.7</v>
      </c>
      <c r="C38" s="61">
        <f t="shared" si="8"/>
        <v>3.25</v>
      </c>
      <c r="D38" s="61">
        <f t="shared" si="4"/>
        <v>50</v>
      </c>
      <c r="E38" s="61">
        <f>E37</f>
        <v>0.044</v>
      </c>
      <c r="F38" s="29">
        <v>13</v>
      </c>
      <c r="G38" s="13">
        <v>19.2</v>
      </c>
      <c r="H38" s="48" t="str">
        <f t="shared" si="7"/>
        <v>----</v>
      </c>
      <c r="I38" s="37">
        <f>G38/((3.14*(B38+2*F38)^2/4-3.14*B38^2/4)/1000000)</f>
        <v>10071.898668306148</v>
      </c>
      <c r="J38" s="38">
        <f>PI()/((1/(2*D38)*LN(B38/(B38-2*C38)))+(1/('Zadání parametrů'!D$14*(B38)/1000)))*('Zadání parametrů'!D$16-'Zadání parametrů'!D$9)</f>
        <v>37.348937940590204</v>
      </c>
      <c r="K38" s="39">
        <f>J38/1000*24*'Zadání parametrů'!$D$6</f>
        <v>196.3060178157421</v>
      </c>
      <c r="L38" s="39">
        <f>K38*'Zadání parametrů'!$D$18</f>
        <v>282.681457162749</v>
      </c>
      <c r="M38" s="38">
        <f>PI()/((1/(2*D38)*LN(B38/(B38-2*C38)))+(1/(2*E38)*LN((B38+2*F38)/B38))+(1/('Zadání parametrů'!D$14*(B38+2*F38)/1000)))*('Zadání parametrů'!D$16-'Zadání parametrů'!D$9)</f>
        <v>13.566197596257297</v>
      </c>
      <c r="N38" s="39">
        <f>M38/1000*24*'Zadání parametrů'!$D$6</f>
        <v>71.30393456592836</v>
      </c>
      <c r="O38" s="39">
        <f>N38*'Zadání parametrů'!$D$18</f>
        <v>102.6779532732061</v>
      </c>
      <c r="P38" s="40">
        <f>L38-O38</f>
        <v>180.00350388954288</v>
      </c>
      <c r="Q38" s="8">
        <f>G38/P38*365</f>
        <v>38.932575469755186</v>
      </c>
      <c r="R38" s="45">
        <f>(O38*'Zadání parametrů'!$D$4)+G38</f>
        <v>121.8779532732061</v>
      </c>
    </row>
    <row r="39" spans="1:18" ht="12.75">
      <c r="A39" s="4" t="s">
        <v>6</v>
      </c>
      <c r="B39" s="24">
        <f t="shared" si="8"/>
        <v>33.7</v>
      </c>
      <c r="C39" s="61">
        <f t="shared" si="8"/>
        <v>3.25</v>
      </c>
      <c r="D39" s="61">
        <f t="shared" si="4"/>
        <v>50</v>
      </c>
      <c r="E39" s="61">
        <f>E38</f>
        <v>0.044</v>
      </c>
      <c r="F39" s="23">
        <v>20</v>
      </c>
      <c r="G39" s="6">
        <v>35</v>
      </c>
      <c r="H39" s="48" t="str">
        <f t="shared" si="7"/>
        <v>OPTIMÁLNÍ</v>
      </c>
      <c r="I39" s="37">
        <f>G39/((3.14*(B39+2*F39)^2/4-3.14*B39^2/4)/1000000)</f>
        <v>10378.48865482926</v>
      </c>
      <c r="J39" s="38">
        <f>PI()/((1/(2*D39)*LN(B39/(B39-2*C39)))+(1/('Zadání parametrů'!D$14*(B39)/1000)))*('Zadání parametrů'!D$16-'Zadání parametrů'!D$9)</f>
        <v>37.348937940590204</v>
      </c>
      <c r="K39" s="39">
        <f>J39/1000*24*'Zadání parametrů'!$D$6</f>
        <v>196.3060178157421</v>
      </c>
      <c r="L39" s="39">
        <f>K39*'Zadání parametrů'!$D$18</f>
        <v>282.681457162749</v>
      </c>
      <c r="M39" s="38">
        <f>PI()/((1/(2*D39)*LN(B39/(B39-2*C39)))+(1/(2*E39)*LN((B39+2*F39)/B39))+(1/('Zadání parametrů'!D$14*(B39+2*F39)/1000)))*('Zadání parametrů'!D$16-'Zadání parametrů'!D$9)</f>
        <v>10.81910973483002</v>
      </c>
      <c r="N39" s="39">
        <f>M39/1000*24*'Zadání parametrů'!$D$6</f>
        <v>56.86524076626658</v>
      </c>
      <c r="O39" s="39">
        <f>N39*'Zadání parametrů'!$D$18</f>
        <v>81.88617598471671</v>
      </c>
      <c r="P39" s="40">
        <f>L39-O39</f>
        <v>200.79528117803227</v>
      </c>
      <c r="Q39" s="8">
        <f>G39/P39*365</f>
        <v>63.6220130525539</v>
      </c>
      <c r="R39" s="45">
        <f>(O39*'Zadání parametrů'!$D$4)+G39</f>
        <v>116.88617598471671</v>
      </c>
    </row>
    <row r="40" spans="1:18" ht="12.75">
      <c r="A40" s="4" t="s">
        <v>6</v>
      </c>
      <c r="B40" s="24">
        <f t="shared" si="8"/>
        <v>33.7</v>
      </c>
      <c r="C40" s="61">
        <f t="shared" si="8"/>
        <v>3.25</v>
      </c>
      <c r="D40" s="61">
        <f t="shared" si="4"/>
        <v>50</v>
      </c>
      <c r="E40" s="61">
        <f>E39</f>
        <v>0.044</v>
      </c>
      <c r="F40" s="23">
        <v>25</v>
      </c>
      <c r="G40" s="6">
        <v>52</v>
      </c>
      <c r="H40" s="48" t="str">
        <f t="shared" si="7"/>
        <v>----</v>
      </c>
      <c r="I40" s="37">
        <f>G40/((3.14*(B40+2*F40)^2/4-3.14*B40^2/4)/1000000)</f>
        <v>11284.844670623597</v>
      </c>
      <c r="J40" s="38">
        <f>PI()/((1/(2*D40)*LN(B40/(B40-2*C40)))+(1/('Zadání parametrů'!D$14*(B40)/1000)))*('Zadání parametrů'!D$16-'Zadání parametrů'!D$9)</f>
        <v>37.348937940590204</v>
      </c>
      <c r="K40" s="39">
        <f>J40/1000*24*'Zadání parametrů'!$D$6</f>
        <v>196.3060178157421</v>
      </c>
      <c r="L40" s="39">
        <f>K40*'Zadání parametrů'!$D$18</f>
        <v>282.681457162749</v>
      </c>
      <c r="M40" s="38">
        <f>PI()/((1/(2*D40)*LN(B40/(B40-2*C40)))+(1/(2*E40)*LN((B40+2*F40)/B40))+(1/('Zadání parametrů'!D$14*(B40+2*F40)/1000)))*('Zadání parametrů'!D$16-'Zadání parametrů'!D$9)</f>
        <v>9.61501082109674</v>
      </c>
      <c r="N40" s="39">
        <f>M40/1000*24*'Zadání parametrů'!$D$6</f>
        <v>50.53649687568448</v>
      </c>
      <c r="O40" s="39">
        <f>N40*'Zadání parametrů'!$D$18</f>
        <v>72.77275926471165</v>
      </c>
      <c r="P40" s="40">
        <f>L40-O40</f>
        <v>209.90869789803733</v>
      </c>
      <c r="Q40" s="8">
        <f>G40/P40*365</f>
        <v>90.4202645724547</v>
      </c>
      <c r="R40" s="45">
        <f>(O40*'Zadání parametrů'!$D$4)+G40</f>
        <v>124.77275926471165</v>
      </c>
    </row>
    <row r="41" spans="1:18" ht="12.75">
      <c r="A41" s="4"/>
      <c r="B41" s="24"/>
      <c r="C41" s="27"/>
      <c r="D41" s="61"/>
      <c r="E41" s="61"/>
      <c r="F41" s="23"/>
      <c r="G41" s="6"/>
      <c r="H41" s="48"/>
      <c r="I41" s="37"/>
      <c r="J41" s="38"/>
      <c r="K41" s="39"/>
      <c r="L41" s="39"/>
      <c r="M41" s="38"/>
      <c r="N41" s="39"/>
      <c r="O41" s="39"/>
      <c r="P41" s="40"/>
      <c r="Q41" s="8"/>
      <c r="R41" s="45"/>
    </row>
    <row r="42" spans="1:18" ht="12.75">
      <c r="A42" s="4" t="s">
        <v>15</v>
      </c>
      <c r="B42" s="24">
        <f t="shared" si="8"/>
        <v>33.7</v>
      </c>
      <c r="C42" s="61">
        <f t="shared" si="8"/>
        <v>3.25</v>
      </c>
      <c r="D42" s="61">
        <f t="shared" si="4"/>
        <v>50</v>
      </c>
      <c r="E42" s="6">
        <v>0.038</v>
      </c>
      <c r="F42" s="23">
        <v>20</v>
      </c>
      <c r="G42" s="6">
        <v>75</v>
      </c>
      <c r="H42" s="48" t="str">
        <f t="shared" si="7"/>
        <v>----</v>
      </c>
      <c r="I42" s="37">
        <f>G42/((3.14*(B42+2*F42)^2/4-3.14*B42^2/4)/1000000)</f>
        <v>22239.618546062702</v>
      </c>
      <c r="J42" s="38">
        <f>PI()/((1/(2*D42)*LN(B42/(B42-2*C42)))+(1/('Zadání parametrů'!D$14*(B42)/1000)))*('Zadání parametrů'!D$16-'Zadání parametrů'!D$9)</f>
        <v>37.348937940590204</v>
      </c>
      <c r="K42" s="39">
        <f>J42/1000*24*'Zadání parametrů'!$D$6</f>
        <v>196.3060178157421</v>
      </c>
      <c r="L42" s="39">
        <f>K42*'Zadání parametrů'!$D$18</f>
        <v>282.681457162749</v>
      </c>
      <c r="M42" s="38">
        <f>PI()/((1/(2*D42)*LN(B42/(B42-2*C42)))+(1/(2*E42)*LN((B42+2*F42)/B42))+(1/('Zadání parametrů'!D$14*(B42+2*F42)/1000)))*('Zadání parametrů'!D$16-'Zadání parametrů'!D$9)</f>
        <v>9.515801542274117</v>
      </c>
      <c r="N42" s="39">
        <f>M42/1000*24*'Zadání parametrů'!$D$6</f>
        <v>50.01505290619276</v>
      </c>
      <c r="O42" s="39">
        <f>N42*'Zadání parametrů'!$D$18</f>
        <v>72.02187784617561</v>
      </c>
      <c r="P42" s="40">
        <f>L42-O42</f>
        <v>210.65957931657337</v>
      </c>
      <c r="Q42" s="8">
        <f>G42/P42*365</f>
        <v>129.94899206013133</v>
      </c>
      <c r="R42" s="45">
        <f>(O42*'Zadání parametrů'!$D$4)+G42</f>
        <v>147.0218778461756</v>
      </c>
    </row>
    <row r="43" spans="1:18" ht="12.75">
      <c r="A43" s="4" t="s">
        <v>15</v>
      </c>
      <c r="B43" s="24">
        <f t="shared" si="8"/>
        <v>33.7</v>
      </c>
      <c r="C43" s="61">
        <f t="shared" si="8"/>
        <v>3.25</v>
      </c>
      <c r="D43" s="61">
        <f t="shared" si="4"/>
        <v>50</v>
      </c>
      <c r="E43" s="61">
        <f t="shared" si="1"/>
        <v>0.038</v>
      </c>
      <c r="F43" s="23">
        <v>25</v>
      </c>
      <c r="G43" s="6">
        <v>79</v>
      </c>
      <c r="H43" s="48" t="str">
        <f t="shared" si="7"/>
        <v>----</v>
      </c>
      <c r="I43" s="37">
        <f>G43/((3.14*(B43+2*F43)^2/4-3.14*B43^2/4)/1000000)</f>
        <v>17144.283249601234</v>
      </c>
      <c r="J43" s="38">
        <f>PI()/((1/(2*D43)*LN(B43/(B43-2*C43)))+(1/('Zadání parametrů'!D$14*(B43)/1000)))*('Zadání parametrů'!D$16-'Zadání parametrů'!D$9)</f>
        <v>37.348937940590204</v>
      </c>
      <c r="K43" s="39">
        <f>J43/1000*24*'Zadání parametrů'!$D$6</f>
        <v>196.3060178157421</v>
      </c>
      <c r="L43" s="39">
        <f>K43*'Zadání parametrů'!$D$18</f>
        <v>282.681457162749</v>
      </c>
      <c r="M43" s="38">
        <f>PI()/((1/(2*D43)*LN(B43/(B43-2*C43)))+(1/(2*E43)*LN((B43+2*F43)/B43))+(1/('Zadání parametrů'!D$14*(B43+2*F43)/1000)))*('Zadání parametrů'!D$16-'Zadání parametrů'!D$9)</f>
        <v>8.423054487604729</v>
      </c>
      <c r="N43" s="39">
        <f>M43/1000*24*'Zadání parametrů'!$D$6</f>
        <v>44.27157438685045</v>
      </c>
      <c r="O43" s="39">
        <f>N43*'Zadání parametrů'!$D$18</f>
        <v>63.75124562055245</v>
      </c>
      <c r="P43" s="40">
        <f>L43-O43</f>
        <v>218.93021154219653</v>
      </c>
      <c r="Q43" s="8">
        <f>G43/P43*365</f>
        <v>131.70863809466678</v>
      </c>
      <c r="R43" s="45">
        <f>(O43*'Zadání parametrů'!$D$4)+G43</f>
        <v>142.75124562055245</v>
      </c>
    </row>
    <row r="44" spans="1:18" ht="12.75">
      <c r="A44" s="4" t="s">
        <v>15</v>
      </c>
      <c r="B44" s="24">
        <f t="shared" si="8"/>
        <v>33.7</v>
      </c>
      <c r="C44" s="61">
        <f t="shared" si="8"/>
        <v>3.25</v>
      </c>
      <c r="D44" s="61">
        <f t="shared" si="4"/>
        <v>50</v>
      </c>
      <c r="E44" s="61">
        <f t="shared" si="1"/>
        <v>0.038</v>
      </c>
      <c r="F44" s="23">
        <v>30</v>
      </c>
      <c r="G44" s="6">
        <v>83</v>
      </c>
      <c r="H44" s="48" t="str">
        <f t="shared" si="7"/>
        <v>----</v>
      </c>
      <c r="I44" s="37">
        <f>G44/((3.14*(B44+2*F44)^2/4-3.14*B44^2/4)/1000000)</f>
        <v>13832.088445373249</v>
      </c>
      <c r="J44" s="38">
        <f>PI()/((1/(2*D44)*LN(B44/(B44-2*C44)))+(1/('Zadání parametrů'!D$14*(B44)/1000)))*('Zadání parametrů'!D$16-'Zadání parametrů'!D$9)</f>
        <v>37.348937940590204</v>
      </c>
      <c r="K44" s="39">
        <f>J44/1000*24*'Zadání parametrů'!$D$6</f>
        <v>196.3060178157421</v>
      </c>
      <c r="L44" s="39">
        <f>K44*'Zadání parametrů'!$D$18</f>
        <v>282.681457162749</v>
      </c>
      <c r="M44" s="38">
        <f>PI()/((1/(2*D44)*LN(B44/(B44-2*C44)))+(1/(2*E44)*LN((B44+2*F44)/B44))+(1/('Zadání parametrů'!D$14*(B44+2*F44)/1000)))*('Zadání parametrů'!D$16-'Zadání parametrů'!D$9)</f>
        <v>7.635830654289615</v>
      </c>
      <c r="N44" s="39">
        <f>M44/1000*24*'Zadání parametrů'!$D$6</f>
        <v>40.13392591894622</v>
      </c>
      <c r="O44" s="39">
        <f>N44*'Zadání parametrů'!$D$18</f>
        <v>57.793015143725015</v>
      </c>
      <c r="P44" s="40">
        <f>L44-O44</f>
        <v>224.88844201902396</v>
      </c>
      <c r="Q44" s="8">
        <f>G44/P44*365</f>
        <v>134.71123606004286</v>
      </c>
      <c r="R44" s="45">
        <f>(O44*'Zadání parametrů'!$D$4)+G44</f>
        <v>140.79301514372503</v>
      </c>
    </row>
    <row r="45" spans="1:18" ht="12.75">
      <c r="A45" s="4" t="s">
        <v>15</v>
      </c>
      <c r="B45" s="24">
        <f t="shared" si="8"/>
        <v>33.7</v>
      </c>
      <c r="C45" s="61">
        <f t="shared" si="8"/>
        <v>3.25</v>
      </c>
      <c r="D45" s="61">
        <f t="shared" si="4"/>
        <v>50</v>
      </c>
      <c r="E45" s="61">
        <f t="shared" si="1"/>
        <v>0.038</v>
      </c>
      <c r="F45" s="23">
        <v>40</v>
      </c>
      <c r="G45" s="6">
        <v>96</v>
      </c>
      <c r="H45" s="48" t="str">
        <f t="shared" si="7"/>
        <v>----</v>
      </c>
      <c r="I45" s="37">
        <f>G45/((3.14*(B45+2*F45)^2/4-3.14*B45^2/4)/1000000)</f>
        <v>10370.844100286062</v>
      </c>
      <c r="J45" s="38">
        <f>PI()/((1/(2*D45)*LN(B45/(B45-2*C45)))+(1/('Zadání parametrů'!D$14*(B45)/1000)))*('Zadání parametrů'!D$16-'Zadání parametrů'!D$9)</f>
        <v>37.348937940590204</v>
      </c>
      <c r="K45" s="39">
        <f>J45/1000*24*'Zadání parametrů'!$D$6</f>
        <v>196.3060178157421</v>
      </c>
      <c r="L45" s="39">
        <f>K45*'Zadání parametrů'!$D$18</f>
        <v>282.681457162749</v>
      </c>
      <c r="M45" s="38">
        <f>PI()/((1/(2*D45)*LN(B45/(B45-2*C45)))+(1/(2*E45)*LN((B45+2*F45)/B45))+(1/('Zadání parametrů'!D$14*(B45+2*F45)/1000)))*('Zadání parametrů'!D$16-'Zadání parametrů'!D$9)</f>
        <v>6.569385784410965</v>
      </c>
      <c r="N45" s="39">
        <f>M45/1000*24*'Zadání parametrů'!$D$6</f>
        <v>34.528691682864036</v>
      </c>
      <c r="O45" s="39">
        <f>N45*'Zadání parametrů'!$D$18</f>
        <v>49.72145524339894</v>
      </c>
      <c r="P45" s="40">
        <f>L45-O45</f>
        <v>232.96000191935005</v>
      </c>
      <c r="Q45" s="8">
        <f>G45/P45*365</f>
        <v>150.4120866728475</v>
      </c>
      <c r="R45" s="45">
        <f>(O45*'Zadání parametrů'!$D$4)+G45</f>
        <v>145.72145524339894</v>
      </c>
    </row>
    <row r="46" spans="1:18" ht="15.75" customHeight="1">
      <c r="A46" s="42"/>
      <c r="B46" s="22"/>
      <c r="C46" s="25"/>
      <c r="D46" s="30"/>
      <c r="E46" s="30"/>
      <c r="F46" s="22"/>
      <c r="G46" s="25"/>
      <c r="H46" s="22"/>
      <c r="I46" s="31"/>
      <c r="J46" s="31"/>
      <c r="K46" s="33"/>
      <c r="L46" s="33"/>
      <c r="M46" s="33"/>
      <c r="N46" s="33"/>
      <c r="O46" s="49" t="s">
        <v>60</v>
      </c>
      <c r="P46" s="34"/>
      <c r="Q46" s="8"/>
      <c r="R46" s="47">
        <f>MIN(R36:R45)</f>
        <v>116.88617598471671</v>
      </c>
    </row>
    <row r="47" spans="1:18" ht="21.75" customHeight="1">
      <c r="A47" s="41" t="s">
        <v>69</v>
      </c>
      <c r="B47" s="22"/>
      <c r="C47" s="42"/>
      <c r="D47" s="30"/>
      <c r="E47" s="30"/>
      <c r="F47" s="22"/>
      <c r="G47" s="25"/>
      <c r="H47" s="22"/>
      <c r="I47" s="31"/>
      <c r="J47" s="31"/>
      <c r="K47" s="33"/>
      <c r="L47" s="33"/>
      <c r="M47" s="33"/>
      <c r="N47" s="33"/>
      <c r="O47" s="33"/>
      <c r="P47" s="34"/>
      <c r="Q47" s="35"/>
      <c r="R47" s="43"/>
    </row>
    <row r="48" spans="1:18" ht="12.75">
      <c r="A48" s="4" t="s">
        <v>15</v>
      </c>
      <c r="B48" s="23">
        <v>42.4</v>
      </c>
      <c r="C48" s="6">
        <v>3.25</v>
      </c>
      <c r="D48" s="61">
        <f t="shared" si="4"/>
        <v>50</v>
      </c>
      <c r="E48" s="6">
        <v>0.038</v>
      </c>
      <c r="F48" s="23">
        <v>20</v>
      </c>
      <c r="G48" s="6">
        <v>77</v>
      </c>
      <c r="H48" s="48" t="str">
        <f>IF(R48=R$53,"OPTIMÁLNÍ","----")</f>
        <v>----</v>
      </c>
      <c r="I48" s="37">
        <f>G48/((3.14*(B48+2*F48)^2/4-3.14*B48^2/4)/1000000)</f>
        <v>19649.27323207577</v>
      </c>
      <c r="J48" s="38">
        <f>PI()/((1/(2*D48)*LN(B48/(B48-2*C48)))+(1/('Zadání parametrů'!D$14*(B48)/1000)))*('Zadání parametrů'!D$16-'Zadání parametrů'!D$9)</f>
        <v>46.991725476352016</v>
      </c>
      <c r="K48" s="39">
        <f>J48/1000*24*'Zadání parametrů'!$D$6</f>
        <v>246.9885091037062</v>
      </c>
      <c r="L48" s="39">
        <f>K48*'Zadání parametrů'!$D$18</f>
        <v>355.6644489697944</v>
      </c>
      <c r="M48" s="38">
        <f>PI()/((1/(2*D48)*LN(B48/(B48-2*C48)))+(1/(2*E48)*LN((B48+2*F48)/B48))+(1/('Zadání parametrů'!D$14*(B48+2*F48)/1000)))*('Zadání parametrů'!D$16-'Zadání parametrů'!D$9)</f>
        <v>11.13772018867682</v>
      </c>
      <c r="N48" s="39">
        <f>M48/1000*24*'Zadání parametrů'!$D$6</f>
        <v>58.53985731168536</v>
      </c>
      <c r="O48" s="39">
        <f>N48*'Zadání parametrů'!$D$18</f>
        <v>84.29763056219257</v>
      </c>
      <c r="P48" s="40">
        <f>L48-O48</f>
        <v>271.36681840760184</v>
      </c>
      <c r="Q48" s="8">
        <f>G48/P48*365</f>
        <v>103.56829978300946</v>
      </c>
      <c r="R48" s="45">
        <f>(O48*'Zadání parametrů'!$D$4)+G48</f>
        <v>161.29763056219258</v>
      </c>
    </row>
    <row r="49" spans="1:18" ht="12.75">
      <c r="A49" s="4" t="s">
        <v>15</v>
      </c>
      <c r="B49" s="24">
        <f>B$48</f>
        <v>42.4</v>
      </c>
      <c r="C49" s="61">
        <f>C$48</f>
        <v>3.25</v>
      </c>
      <c r="D49" s="61">
        <f t="shared" si="4"/>
        <v>50</v>
      </c>
      <c r="E49" s="61">
        <f t="shared" si="1"/>
        <v>0.038</v>
      </c>
      <c r="F49" s="23">
        <v>25</v>
      </c>
      <c r="G49" s="6">
        <v>83</v>
      </c>
      <c r="H49" s="48" t="str">
        <f>IF(R49=R$53,"OPTIMÁLNÍ","----")</f>
        <v>----</v>
      </c>
      <c r="I49" s="37">
        <f>G49/((3.14*(B49+2*F49)^2/4-3.14*B49^2/4)/1000000)</f>
        <v>15687.31217751233</v>
      </c>
      <c r="J49" s="38">
        <f>PI()/((1/(2*D49)*LN(B49/(B49-2*C49)))+(1/('Zadání parametrů'!D$14*(B49)/1000)))*('Zadání parametrů'!D$16-'Zadání parametrů'!D$9)</f>
        <v>46.991725476352016</v>
      </c>
      <c r="K49" s="39">
        <f>J49/1000*24*'Zadání parametrů'!$D$6</f>
        <v>246.9885091037062</v>
      </c>
      <c r="L49" s="39">
        <f>K49*'Zadání parametrů'!$D$18</f>
        <v>355.6644489697944</v>
      </c>
      <c r="M49" s="38">
        <f>PI()/((1/(2*D49)*LN(B49/(B49-2*C49)))+(1/(2*E49)*LN((B49+2*F49)/B49))+(1/('Zadání parametrů'!D$14*(B49+2*F49)/1000)))*('Zadání parametrů'!D$16-'Zadání parametrů'!D$9)</f>
        <v>9.785717653677533</v>
      </c>
      <c r="N49" s="39">
        <f>M49/1000*24*'Zadání parametrů'!$D$6</f>
        <v>51.43373198772911</v>
      </c>
      <c r="O49" s="39">
        <f>N49*'Zadání parametrů'!$D$18</f>
        <v>74.06478144371803</v>
      </c>
      <c r="P49" s="40">
        <f>L49-O49</f>
        <v>281.59966752607636</v>
      </c>
      <c r="Q49" s="8">
        <f>G49/P49*365</f>
        <v>107.5818031539212</v>
      </c>
      <c r="R49" s="45">
        <f>(O49*'Zadání parametrů'!$D$4)+G49</f>
        <v>157.06478144371803</v>
      </c>
    </row>
    <row r="50" spans="1:18" ht="12.75">
      <c r="A50" s="4" t="s">
        <v>15</v>
      </c>
      <c r="B50" s="24">
        <f aca="true" t="shared" si="9" ref="B50:C52">B$48</f>
        <v>42.4</v>
      </c>
      <c r="C50" s="61">
        <f t="shared" si="9"/>
        <v>3.25</v>
      </c>
      <c r="D50" s="61">
        <f t="shared" si="4"/>
        <v>50</v>
      </c>
      <c r="E50" s="61">
        <f t="shared" si="1"/>
        <v>0.038</v>
      </c>
      <c r="F50" s="23">
        <v>30</v>
      </c>
      <c r="G50" s="6">
        <v>89</v>
      </c>
      <c r="H50" s="48" t="str">
        <f>IF(R50=R$53,"OPTIMÁLNÍ","----")</f>
        <v>OPTIMÁLNÍ</v>
      </c>
      <c r="I50" s="37">
        <f>G50/((3.14*(B50+2*F50)^2/4-3.14*B50^2/4)/1000000)</f>
        <v>13049.70029677071</v>
      </c>
      <c r="J50" s="38">
        <f>PI()/((1/(2*D50)*LN(B50/(B50-2*C50)))+(1/('Zadání parametrů'!D$14*(B50)/1000)))*('Zadání parametrů'!D$16-'Zadání parametrů'!D$9)</f>
        <v>46.991725476352016</v>
      </c>
      <c r="K50" s="39">
        <f>J50/1000*24*'Zadání parametrů'!$D$6</f>
        <v>246.9885091037062</v>
      </c>
      <c r="L50" s="39">
        <f>K50*'Zadání parametrů'!$D$18</f>
        <v>355.6644489697944</v>
      </c>
      <c r="M50" s="38">
        <f>PI()/((1/(2*D50)*LN(B50/(B50-2*C50)))+(1/(2*E50)*LN((B50+2*F50)/B50))+(1/('Zadání parametrů'!D$14*(B50+2*F50)/1000)))*('Zadání parametrů'!D$16-'Zadání parametrů'!D$9)</f>
        <v>8.816162654971206</v>
      </c>
      <c r="N50" s="39">
        <f>M50/1000*24*'Zadání parametrů'!$D$6</f>
        <v>46.33775091452866</v>
      </c>
      <c r="O50" s="39">
        <f>N50*'Zadání parametrů'!$D$18</f>
        <v>66.72654815125617</v>
      </c>
      <c r="P50" s="40">
        <f>L50-O50</f>
        <v>288.93790081853825</v>
      </c>
      <c r="Q50" s="8">
        <f>G50/P50*365</f>
        <v>112.42900259181145</v>
      </c>
      <c r="R50" s="45">
        <f>(O50*'Zadání parametrů'!$D$4)+G50</f>
        <v>155.72654815125617</v>
      </c>
    </row>
    <row r="51" spans="1:18" ht="12.75">
      <c r="A51" s="4" t="s">
        <v>15</v>
      </c>
      <c r="B51" s="24">
        <f t="shared" si="9"/>
        <v>42.4</v>
      </c>
      <c r="C51" s="61">
        <f t="shared" si="9"/>
        <v>3.25</v>
      </c>
      <c r="D51" s="61">
        <f t="shared" si="4"/>
        <v>50</v>
      </c>
      <c r="E51" s="61">
        <f t="shared" si="1"/>
        <v>0.038</v>
      </c>
      <c r="F51" s="23">
        <v>40</v>
      </c>
      <c r="G51" s="6">
        <v>102</v>
      </c>
      <c r="H51" s="48" t="str">
        <f>IF(R51=R$53,"OPTIMÁLNÍ","----")</f>
        <v>----</v>
      </c>
      <c r="I51" s="37">
        <f>G51/((3.14*(B51+2*F51)^2/4-3.14*B51^2/4)/1000000)</f>
        <v>9855.605713932346</v>
      </c>
      <c r="J51" s="38">
        <f>PI()/((1/(2*D51)*LN(B51/(B51-2*C51)))+(1/('Zadání parametrů'!D$14*(B51)/1000)))*('Zadání parametrů'!D$16-'Zadání parametrů'!D$9)</f>
        <v>46.991725476352016</v>
      </c>
      <c r="K51" s="39">
        <f>J51/1000*24*'Zadání parametrů'!$D$6</f>
        <v>246.9885091037062</v>
      </c>
      <c r="L51" s="39">
        <f>K51*'Zadání parametrů'!$D$18</f>
        <v>355.6644489697944</v>
      </c>
      <c r="M51" s="38">
        <f>PI()/((1/(2*D51)*LN(B51/(B51-2*C51)))+(1/(2*E51)*LN((B51+2*F51)/B51))+(1/('Zadání parametrů'!D$14*(B51+2*F51)/1000)))*('Zadání parametrů'!D$16-'Zadání parametrů'!D$9)</f>
        <v>7.510030982044614</v>
      </c>
      <c r="N51" s="39">
        <f>M51/1000*24*'Zadání parametrů'!$D$6</f>
        <v>39.47272284162649</v>
      </c>
      <c r="O51" s="39">
        <f>N51*'Zadání parametrů'!$D$18</f>
        <v>56.84088004640633</v>
      </c>
      <c r="P51" s="40">
        <f>L51-O51</f>
        <v>298.8235689233881</v>
      </c>
      <c r="Q51" s="8">
        <f>G51/P51*365</f>
        <v>124.58856620357467</v>
      </c>
      <c r="R51" s="45">
        <f>(O51*'Zadání parametrů'!$D$4)+G51</f>
        <v>158.84088004640634</v>
      </c>
    </row>
    <row r="52" spans="1:18" ht="12.75">
      <c r="A52" s="4" t="s">
        <v>15</v>
      </c>
      <c r="B52" s="24">
        <f t="shared" si="9"/>
        <v>42.4</v>
      </c>
      <c r="C52" s="61">
        <f t="shared" si="9"/>
        <v>3.25</v>
      </c>
      <c r="D52" s="61">
        <f t="shared" si="4"/>
        <v>50</v>
      </c>
      <c r="E52" s="61">
        <f t="shared" si="1"/>
        <v>0.038</v>
      </c>
      <c r="F52" s="23">
        <v>50</v>
      </c>
      <c r="G52" s="6">
        <v>115</v>
      </c>
      <c r="H52" s="48" t="str">
        <f>IF(R52=R$53,"OPTIMÁLNÍ","----")</f>
        <v>----</v>
      </c>
      <c r="I52" s="37">
        <f>G52/((3.14*(B52+2*F52)^2/4-3.14*B52^2/4)/1000000)</f>
        <v>7927.316844514295</v>
      </c>
      <c r="J52" s="38">
        <f>PI()/((1/(2*D52)*LN(B52/(B52-2*C52)))+(1/('Zadání parametrů'!D$14*(B52)/1000)))*('Zadání parametrů'!D$16-'Zadání parametrů'!D$9)</f>
        <v>46.991725476352016</v>
      </c>
      <c r="K52" s="39">
        <f>J52/1000*24*'Zadání parametrů'!$D$6</f>
        <v>246.9885091037062</v>
      </c>
      <c r="L52" s="39">
        <f>K52*'Zadání parametrů'!$D$18</f>
        <v>355.6644489697944</v>
      </c>
      <c r="M52" s="38">
        <f>PI()/((1/(2*D52)*LN(B52/(B52-2*C52)))+(1/(2*E52)*LN((B52+2*F52)/B52))+(1/('Zadání parametrů'!D$14*(B52+2*F52)/1000)))*('Zadání parametrů'!D$16-'Zadání parametrů'!D$9)</f>
        <v>6.663290340513833</v>
      </c>
      <c r="N52" s="39">
        <f>M52/1000*24*'Zadání parametrů'!$D$6</f>
        <v>35.0222540297407</v>
      </c>
      <c r="O52" s="39">
        <f>N52*'Zadání parametrů'!$D$18</f>
        <v>50.432187012950294</v>
      </c>
      <c r="P52" s="40">
        <f>L52-O52</f>
        <v>305.2322619568441</v>
      </c>
      <c r="Q52" s="8">
        <f>G52/P52*365</f>
        <v>137.51822867903365</v>
      </c>
      <c r="R52" s="45">
        <f>(O52*'Zadání parametrů'!$D$4)+G52</f>
        <v>165.4321870129503</v>
      </c>
    </row>
    <row r="53" spans="1:18" ht="15.75" customHeight="1">
      <c r="A53" s="42"/>
      <c r="B53" s="22"/>
      <c r="C53" s="25"/>
      <c r="D53" s="30"/>
      <c r="E53" s="30"/>
      <c r="F53" s="22"/>
      <c r="G53" s="25"/>
      <c r="H53" s="22"/>
      <c r="I53" s="31"/>
      <c r="J53" s="31"/>
      <c r="K53" s="33"/>
      <c r="L53" s="33"/>
      <c r="M53" s="33"/>
      <c r="N53" s="33"/>
      <c r="O53" s="49" t="s">
        <v>60</v>
      </c>
      <c r="P53" s="34"/>
      <c r="Q53" s="8"/>
      <c r="R53" s="47">
        <f>MIN(R48:R52)</f>
        <v>155.72654815125617</v>
      </c>
    </row>
    <row r="54" spans="1:18" ht="21.75" customHeight="1">
      <c r="A54" s="41" t="s">
        <v>42</v>
      </c>
      <c r="B54" s="22"/>
      <c r="C54" s="42"/>
      <c r="D54" s="30"/>
      <c r="E54" s="30"/>
      <c r="F54" s="22"/>
      <c r="G54" s="25"/>
      <c r="H54" s="22"/>
      <c r="I54" s="31"/>
      <c r="J54" s="31"/>
      <c r="K54" s="33"/>
      <c r="L54" s="33"/>
      <c r="M54" s="33"/>
      <c r="N54" s="33"/>
      <c r="O54" s="33"/>
      <c r="P54" s="34"/>
      <c r="Q54" s="35"/>
      <c r="R54" s="43"/>
    </row>
    <row r="55" spans="1:18" ht="12.75">
      <c r="A55" s="4" t="s">
        <v>15</v>
      </c>
      <c r="B55" s="23">
        <v>48.3</v>
      </c>
      <c r="C55" s="6">
        <v>3.25</v>
      </c>
      <c r="D55" s="61">
        <f t="shared" si="4"/>
        <v>50</v>
      </c>
      <c r="E55" s="6">
        <v>0.038</v>
      </c>
      <c r="F55" s="23">
        <v>20</v>
      </c>
      <c r="G55" s="6">
        <v>79</v>
      </c>
      <c r="H55" s="48" t="str">
        <f aca="true" t="shared" si="10" ref="H55:H60">IF(R55=R$61,"OPTIMÁLNÍ","----")</f>
        <v>----</v>
      </c>
      <c r="I55" s="37">
        <f aca="true" t="shared" si="11" ref="I55:I60">G55/((3.14*(B55+2*F55)^2/4-3.14*B55^2/4)/1000000)</f>
        <v>18418.18130950938</v>
      </c>
      <c r="J55" s="38">
        <f>PI()/((1/(2*D55)*LN(B55/(B55-2*C55)))+(1/('Zadání parametrů'!D$14*(B55)/1000)))*('Zadání parametrů'!D$16-'Zadání parametrů'!D$9)</f>
        <v>53.53106842084899</v>
      </c>
      <c r="K55" s="39">
        <f>J55/1000*24*'Zadání parametrů'!$D$6</f>
        <v>281.3592956199823</v>
      </c>
      <c r="L55" s="39">
        <f>K55*'Zadání parametrů'!$D$18</f>
        <v>405.15852013663124</v>
      </c>
      <c r="M55" s="38">
        <f>PI()/((1/(2*D55)*LN(B55/(B55-2*C55)))+(1/(2*E55)*LN((B55+2*F55)/B55))+(1/('Zadání parametrů'!D$14*(B55+2*F55)/1000)))*('Zadání parametrů'!D$16-'Zadání parametrů'!D$9)</f>
        <v>12.224985562658706</v>
      </c>
      <c r="N55" s="39">
        <f>M55/1000*24*'Zadání parametrů'!$D$6</f>
        <v>64.25452411733416</v>
      </c>
      <c r="O55" s="39">
        <f>N55*'Zadání parametrů'!$D$18</f>
        <v>92.52677380392792</v>
      </c>
      <c r="P55" s="40">
        <f aca="true" t="shared" si="12" ref="P55:P60">L55-O55</f>
        <v>312.6317463327033</v>
      </c>
      <c r="Q55" s="8">
        <f aca="true" t="shared" si="13" ref="Q55:Q60">G55/P55*365</f>
        <v>92.23311560085052</v>
      </c>
      <c r="R55" s="45">
        <f>(O55*'Zadání parametrů'!$D$4)+G55</f>
        <v>171.52677380392794</v>
      </c>
    </row>
    <row r="56" spans="1:18" ht="12.75">
      <c r="A56" s="4" t="s">
        <v>15</v>
      </c>
      <c r="B56" s="24">
        <f aca="true" t="shared" si="14" ref="B56:C60">B$55</f>
        <v>48.3</v>
      </c>
      <c r="C56" s="61">
        <f t="shared" si="14"/>
        <v>3.25</v>
      </c>
      <c r="D56" s="61">
        <f t="shared" si="4"/>
        <v>50</v>
      </c>
      <c r="E56" s="61">
        <f t="shared" si="1"/>
        <v>0.038</v>
      </c>
      <c r="F56" s="23">
        <v>25</v>
      </c>
      <c r="G56" s="6">
        <v>86</v>
      </c>
      <c r="H56" s="48" t="str">
        <f t="shared" si="10"/>
        <v>OPTIMÁLNÍ</v>
      </c>
      <c r="I56" s="37">
        <f t="shared" si="11"/>
        <v>14945.994560353145</v>
      </c>
      <c r="J56" s="38">
        <f>PI()/((1/(2*D56)*LN(B56/(B56-2*C56)))+(1/('Zadání parametrů'!D$14*(B56)/1000)))*('Zadání parametrů'!D$16-'Zadání parametrů'!D$9)</f>
        <v>53.53106842084899</v>
      </c>
      <c r="K56" s="39">
        <f>J56/1000*24*'Zadání parametrů'!$D$6</f>
        <v>281.3592956199823</v>
      </c>
      <c r="L56" s="39">
        <f>K56*'Zadání parametrů'!$D$18</f>
        <v>405.15852013663124</v>
      </c>
      <c r="M56" s="38">
        <f>PI()/((1/(2*D56)*LN(B56/(B56-2*C56)))+(1/(2*E56)*LN((B56+2*F56)/B56))+(1/('Zadání parametrů'!D$14*(B56+2*F56)/1000)))*('Zadání parametrů'!D$16-'Zadání parametrů'!D$9)</f>
        <v>10.696459539691352</v>
      </c>
      <c r="N56" s="39">
        <f>M56/1000*24*'Zadání parametrů'!$D$6</f>
        <v>56.22059134061775</v>
      </c>
      <c r="O56" s="39">
        <f>N56*'Zadání parametrů'!$D$18</f>
        <v>80.95787821254864</v>
      </c>
      <c r="P56" s="40">
        <f t="shared" si="12"/>
        <v>324.2006419240826</v>
      </c>
      <c r="Q56" s="8">
        <f t="shared" si="13"/>
        <v>96.82275708556595</v>
      </c>
      <c r="R56" s="45">
        <f>(O56*'Zadání parametrů'!$D$4)+G56</f>
        <v>166.95787821254862</v>
      </c>
    </row>
    <row r="57" spans="1:18" ht="12.75">
      <c r="A57" s="4" t="s">
        <v>15</v>
      </c>
      <c r="B57" s="24">
        <f t="shared" si="14"/>
        <v>48.3</v>
      </c>
      <c r="C57" s="61">
        <f t="shared" si="14"/>
        <v>3.25</v>
      </c>
      <c r="D57" s="61">
        <f t="shared" si="4"/>
        <v>50</v>
      </c>
      <c r="E57" s="61">
        <f t="shared" si="1"/>
        <v>0.038</v>
      </c>
      <c r="F57" s="23">
        <v>30</v>
      </c>
      <c r="G57" s="6">
        <v>95</v>
      </c>
      <c r="H57" s="48" t="str">
        <f t="shared" si="10"/>
        <v>----</v>
      </c>
      <c r="I57" s="37">
        <f t="shared" si="11"/>
        <v>12879.85401024423</v>
      </c>
      <c r="J57" s="38">
        <f>PI()/((1/(2*D57)*LN(B57/(B57-2*C57)))+(1/('Zadání parametrů'!D$14*(B57)/1000)))*('Zadání parametrů'!D$16-'Zadání parametrů'!D$9)</f>
        <v>53.53106842084899</v>
      </c>
      <c r="K57" s="39">
        <f>J57/1000*24*'Zadání parametrů'!$D$6</f>
        <v>281.3592956199823</v>
      </c>
      <c r="L57" s="39">
        <f>K57*'Zadání parametrů'!$D$18</f>
        <v>405.15852013663124</v>
      </c>
      <c r="M57" s="38">
        <f>PI()/((1/(2*D57)*LN(B57/(B57-2*C57)))+(1/(2*E57)*LN((B57+2*F57)/B57))+(1/('Zadání parametrů'!D$14*(B57+2*F57)/1000)))*('Zadání parametrů'!D$16-'Zadání parametrů'!D$9)</f>
        <v>9.602851641578367</v>
      </c>
      <c r="N57" s="39">
        <f>M57/1000*24*'Zadání parametrů'!$D$6</f>
        <v>50.47258822813589</v>
      </c>
      <c r="O57" s="39">
        <f>N57*'Zadání parametrů'!$D$18</f>
        <v>72.68073055456131</v>
      </c>
      <c r="P57" s="40">
        <f t="shared" si="12"/>
        <v>332.47778958206993</v>
      </c>
      <c r="Q57" s="8">
        <f t="shared" si="13"/>
        <v>104.29268085422201</v>
      </c>
      <c r="R57" s="45">
        <f>(O57*'Zadání parametrů'!$D$4)+G57</f>
        <v>167.6807305545613</v>
      </c>
    </row>
    <row r="58" spans="1:18" ht="12.75">
      <c r="A58" s="4" t="s">
        <v>15</v>
      </c>
      <c r="B58" s="24">
        <f t="shared" si="14"/>
        <v>48.3</v>
      </c>
      <c r="C58" s="61">
        <f t="shared" si="14"/>
        <v>3.25</v>
      </c>
      <c r="D58" s="61">
        <f t="shared" si="4"/>
        <v>50</v>
      </c>
      <c r="E58" s="61">
        <f t="shared" si="1"/>
        <v>0.038</v>
      </c>
      <c r="F58" s="23">
        <v>40</v>
      </c>
      <c r="G58" s="6">
        <v>106</v>
      </c>
      <c r="H58" s="48" t="str">
        <f t="shared" si="10"/>
        <v>----</v>
      </c>
      <c r="I58" s="37">
        <f t="shared" si="11"/>
        <v>9557.746824303364</v>
      </c>
      <c r="J58" s="38">
        <f>PI()/((1/(2*D58)*LN(B58/(B58-2*C58)))+(1/('Zadání parametrů'!D$14*(B58)/1000)))*('Zadání parametrů'!D$16-'Zadání parametrů'!D$9)</f>
        <v>53.53106842084899</v>
      </c>
      <c r="K58" s="39">
        <f>J58/1000*24*'Zadání parametrů'!$D$6</f>
        <v>281.3592956199823</v>
      </c>
      <c r="L58" s="39">
        <f>K58*'Zadání parametrů'!$D$18</f>
        <v>405.15852013663124</v>
      </c>
      <c r="M58" s="38">
        <f>PI()/((1/(2*D58)*LN(B58/(B58-2*C58)))+(1/(2*E58)*LN((B58+2*F58)/B58))+(1/('Zadání parametrů'!D$14*(B58+2*F58)/1000)))*('Zadání parametrů'!D$16-'Zadání parametrů'!D$9)</f>
        <v>8.133845813498874</v>
      </c>
      <c r="N58" s="39">
        <f>M58/1000*24*'Zadání parametrů'!$D$6</f>
        <v>42.75149359575009</v>
      </c>
      <c r="O58" s="39">
        <f>N58*'Zadání parametrů'!$D$18</f>
        <v>61.56232315238502</v>
      </c>
      <c r="P58" s="40">
        <f t="shared" si="12"/>
        <v>343.5961969842462</v>
      </c>
      <c r="Q58" s="8">
        <f t="shared" si="13"/>
        <v>112.60310893887433</v>
      </c>
      <c r="R58" s="45">
        <f>(O58*'Zadání parametrů'!$D$4)+G58</f>
        <v>167.56232315238503</v>
      </c>
    </row>
    <row r="59" spans="1:18" ht="12.75">
      <c r="A59" s="4" t="s">
        <v>15</v>
      </c>
      <c r="B59" s="24">
        <f t="shared" si="14"/>
        <v>48.3</v>
      </c>
      <c r="C59" s="61">
        <f t="shared" si="14"/>
        <v>3.25</v>
      </c>
      <c r="D59" s="61">
        <f t="shared" si="4"/>
        <v>50</v>
      </c>
      <c r="E59" s="61">
        <f t="shared" si="1"/>
        <v>0.038</v>
      </c>
      <c r="F59" s="23">
        <v>50</v>
      </c>
      <c r="G59" s="6">
        <v>118</v>
      </c>
      <c r="H59" s="48" t="str">
        <f t="shared" si="10"/>
        <v>----</v>
      </c>
      <c r="I59" s="37">
        <f t="shared" si="11"/>
        <v>7645.9039337527765</v>
      </c>
      <c r="J59" s="38">
        <f>PI()/((1/(2*D59)*LN(B59/(B59-2*C59)))+(1/('Zadání parametrů'!D$14*(B59)/1000)))*('Zadání parametrů'!D$16-'Zadání parametrů'!D$9)</f>
        <v>53.53106842084899</v>
      </c>
      <c r="K59" s="39">
        <f>J59/1000*24*'Zadání parametrů'!$D$6</f>
        <v>281.3592956199823</v>
      </c>
      <c r="L59" s="39">
        <f>K59*'Zadání parametrů'!$D$18</f>
        <v>405.15852013663124</v>
      </c>
      <c r="M59" s="38">
        <f>PI()/((1/(2*D59)*LN(B59/(B59-2*C59)))+(1/(2*E59)*LN((B59+2*F59)/B59))+(1/('Zadání parametrů'!D$14*(B59+2*F59)/1000)))*('Zadání parametrů'!D$16-'Zadání parametrů'!D$9)</f>
        <v>7.184839823598838</v>
      </c>
      <c r="N59" s="39">
        <f>M59/1000*24*'Zadání parametrů'!$D$6</f>
        <v>37.76351811283549</v>
      </c>
      <c r="O59" s="39">
        <f>N59*'Zadání parametrů'!$D$18</f>
        <v>54.37961834541453</v>
      </c>
      <c r="P59" s="40">
        <f t="shared" si="12"/>
        <v>350.7789017912167</v>
      </c>
      <c r="Q59" s="8">
        <f t="shared" si="13"/>
        <v>122.78389543974122</v>
      </c>
      <c r="R59" s="45">
        <f>(O59*'Zadání parametrů'!$D$4)+G59</f>
        <v>172.37961834541454</v>
      </c>
    </row>
    <row r="60" spans="1:18" ht="12.75">
      <c r="A60" s="4" t="s">
        <v>15</v>
      </c>
      <c r="B60" s="24">
        <f t="shared" si="14"/>
        <v>48.3</v>
      </c>
      <c r="C60" s="61">
        <f t="shared" si="14"/>
        <v>3.25</v>
      </c>
      <c r="D60" s="61">
        <f t="shared" si="4"/>
        <v>50</v>
      </c>
      <c r="E60" s="61">
        <f t="shared" si="1"/>
        <v>0.038</v>
      </c>
      <c r="F60" s="23">
        <v>60</v>
      </c>
      <c r="G60" s="6">
        <v>142</v>
      </c>
      <c r="H60" s="48" t="str">
        <f t="shared" si="10"/>
        <v>----</v>
      </c>
      <c r="I60" s="37">
        <f t="shared" si="11"/>
        <v>6959.51522565493</v>
      </c>
      <c r="J60" s="38">
        <f>PI()/((1/(2*D60)*LN(B60/(B60-2*C60)))+(1/('Zadání parametrů'!D$14*(B60)/1000)))*('Zadání parametrů'!D$16-'Zadání parametrů'!D$9)</f>
        <v>53.53106842084899</v>
      </c>
      <c r="K60" s="39">
        <f>J60/1000*24*'Zadání parametrů'!$D$6</f>
        <v>281.3592956199823</v>
      </c>
      <c r="L60" s="39">
        <f>K60*'Zadání parametrů'!$D$18</f>
        <v>405.15852013663124</v>
      </c>
      <c r="M60" s="38">
        <f>PI()/((1/(2*D60)*LN(B60/(B60-2*C60)))+(1/(2*E60)*LN((B60+2*F60)/B60))+(1/('Zadání parametrů'!D$14*(B60+2*F60)/1000)))*('Zadání parametrů'!D$16-'Zadání parametrů'!D$9)</f>
        <v>6.51599687717667</v>
      </c>
      <c r="N60" s="39">
        <f>M60/1000*24*'Zadání parametrů'!$D$6</f>
        <v>34.248079586440575</v>
      </c>
      <c r="O60" s="39">
        <f>N60*'Zadání parametrů'!$D$18</f>
        <v>49.31737269311802</v>
      </c>
      <c r="P60" s="40">
        <f t="shared" si="12"/>
        <v>355.84114744351325</v>
      </c>
      <c r="Q60" s="8">
        <f t="shared" si="13"/>
        <v>145.65488103993812</v>
      </c>
      <c r="R60" s="45">
        <f>(O60*'Zadání parametrů'!$D$4)+G60</f>
        <v>191.31737269311802</v>
      </c>
    </row>
    <row r="61" spans="1:18" ht="15.75" customHeight="1">
      <c r="A61" s="42"/>
      <c r="B61" s="22"/>
      <c r="C61" s="25"/>
      <c r="D61" s="30"/>
      <c r="E61" s="30"/>
      <c r="F61" s="22"/>
      <c r="G61" s="25"/>
      <c r="H61" s="22"/>
      <c r="I61" s="31"/>
      <c r="J61" s="31"/>
      <c r="K61" s="33"/>
      <c r="L61" s="33"/>
      <c r="M61" s="33"/>
      <c r="N61" s="33"/>
      <c r="O61" s="49" t="s">
        <v>60</v>
      </c>
      <c r="P61" s="34"/>
      <c r="Q61" s="8"/>
      <c r="R61" s="47">
        <f>MIN(R55:R60)</f>
        <v>166.95787821254862</v>
      </c>
    </row>
    <row r="62" spans="1:18" ht="21.75" customHeight="1">
      <c r="A62" s="41" t="s">
        <v>21</v>
      </c>
      <c r="B62" s="22"/>
      <c r="C62" s="42"/>
      <c r="D62" s="30"/>
      <c r="E62" s="30"/>
      <c r="F62" s="22"/>
      <c r="G62" s="25"/>
      <c r="H62" s="22"/>
      <c r="I62" s="31"/>
      <c r="J62" s="31"/>
      <c r="K62" s="33"/>
      <c r="L62" s="33"/>
      <c r="M62" s="33"/>
      <c r="N62" s="33"/>
      <c r="O62" s="33"/>
      <c r="P62" s="34"/>
      <c r="Q62" s="35"/>
      <c r="R62" s="43"/>
    </row>
    <row r="63" spans="1:18" ht="12.75">
      <c r="A63" s="4" t="s">
        <v>15</v>
      </c>
      <c r="B63" s="23">
        <v>60.2</v>
      </c>
      <c r="C63" s="6">
        <v>3.65</v>
      </c>
      <c r="D63" s="61">
        <f t="shared" si="4"/>
        <v>50</v>
      </c>
      <c r="E63" s="6">
        <v>0.038</v>
      </c>
      <c r="F63" s="23">
        <v>20</v>
      </c>
      <c r="G63" s="6">
        <v>85</v>
      </c>
      <c r="H63" s="48" t="str">
        <f aca="true" t="shared" si="15" ref="H63:H68">IF(R63=R$69,"OPTIMÁLNÍ","----")</f>
        <v>----</v>
      </c>
      <c r="I63" s="37">
        <f aca="true" t="shared" si="16" ref="I63:I68">G63/((3.14*(B63+2*F63)^2/4-3.14*B63^2/4)/1000000)</f>
        <v>16876.598313134356</v>
      </c>
      <c r="J63" s="38">
        <f>PI()/((1/(2*D63)*LN(B63/(B63-2*C63)))+(1/('Zadání parametrů'!D$14*(B63)/1000)))*('Zadání parametrů'!D$16-'Zadání parametrů'!D$9)</f>
        <v>66.7145426498445</v>
      </c>
      <c r="K63" s="39">
        <f>J63/1000*24*'Zadání parametrů'!$D$6</f>
        <v>350.6516361675827</v>
      </c>
      <c r="L63" s="39">
        <f>K63*'Zadání parametrů'!$D$18</f>
        <v>504.93976991267533</v>
      </c>
      <c r="M63" s="38">
        <f>PI()/((1/(2*D63)*LN(B63/(B63-2*C63)))+(1/(2*E63)*LN((B63+2*F63)/B63))+(1/('Zadání parametrů'!D$14*(B63+2*F63)/1000)))*('Zadání parametrů'!D$16-'Zadání parametrů'!D$9)</f>
        <v>14.397639318808693</v>
      </c>
      <c r="N63" s="39">
        <f>M63/1000*24*'Zadání parametrů'!$D$6</f>
        <v>75.67399225965849</v>
      </c>
      <c r="O63" s="39">
        <f>N63*'Zadání parametrů'!$D$18</f>
        <v>108.97085397229945</v>
      </c>
      <c r="P63" s="40">
        <f aca="true" t="shared" si="17" ref="P63:P68">L63-O63</f>
        <v>395.9689159403759</v>
      </c>
      <c r="Q63" s="8">
        <f aca="true" t="shared" si="18" ref="Q63:Q68">G63/P63*365</f>
        <v>78.35210985266247</v>
      </c>
      <c r="R63" s="45">
        <f>(O63*'Zadání parametrů'!$D$4)+G63</f>
        <v>193.97085397229944</v>
      </c>
    </row>
    <row r="64" spans="1:18" ht="12.75">
      <c r="A64" s="4" t="s">
        <v>15</v>
      </c>
      <c r="B64" s="24">
        <f aca="true" t="shared" si="19" ref="B64:C68">B$63</f>
        <v>60.2</v>
      </c>
      <c r="C64" s="61">
        <f t="shared" si="19"/>
        <v>3.65</v>
      </c>
      <c r="D64" s="61">
        <f t="shared" si="4"/>
        <v>50</v>
      </c>
      <c r="E64" s="61">
        <f>E63</f>
        <v>0.038</v>
      </c>
      <c r="F64" s="23">
        <v>25</v>
      </c>
      <c r="G64" s="6">
        <v>95</v>
      </c>
      <c r="H64" s="48" t="str">
        <f t="shared" si="15"/>
        <v>----</v>
      </c>
      <c r="I64" s="37">
        <f t="shared" si="16"/>
        <v>14204.120690170746</v>
      </c>
      <c r="J64" s="38">
        <f>PI()/((1/(2*D64)*LN(B64/(B64-2*C64)))+(1/('Zadání parametrů'!D$14*(B64)/1000)))*('Zadání parametrů'!D$16-'Zadání parametrů'!D$9)</f>
        <v>66.7145426498445</v>
      </c>
      <c r="K64" s="39">
        <f>J64/1000*24*'Zadání parametrů'!$D$6</f>
        <v>350.6516361675827</v>
      </c>
      <c r="L64" s="39">
        <f>K64*'Zadání parametrů'!$D$18</f>
        <v>504.93976991267533</v>
      </c>
      <c r="M64" s="38">
        <f>PI()/((1/(2*D64)*LN(B64/(B64-2*C64)))+(1/(2*E64)*LN((B64+2*F64)/B64))+(1/('Zadání parametrů'!D$14*(B64+2*F64)/1000)))*('Zadání parametrů'!D$16-'Zadání parametrů'!D$9)</f>
        <v>12.511703428858642</v>
      </c>
      <c r="N64" s="39">
        <f>M64/1000*24*'Zadání parametrů'!$D$6</f>
        <v>65.76151322208102</v>
      </c>
      <c r="O64" s="39">
        <f>N64*'Zadání parametrů'!$D$18</f>
        <v>94.69684419096049</v>
      </c>
      <c r="P64" s="40">
        <f t="shared" si="17"/>
        <v>410.24292572171487</v>
      </c>
      <c r="Q64" s="8">
        <f t="shared" si="18"/>
        <v>84.52309065171185</v>
      </c>
      <c r="R64" s="45">
        <f>(O64*'Zadání parametrů'!$D$4)+G64</f>
        <v>189.6968441909605</v>
      </c>
    </row>
    <row r="65" spans="1:18" ht="12.75">
      <c r="A65" s="4" t="s">
        <v>15</v>
      </c>
      <c r="B65" s="24">
        <f t="shared" si="19"/>
        <v>60.2</v>
      </c>
      <c r="C65" s="61">
        <f t="shared" si="19"/>
        <v>3.65</v>
      </c>
      <c r="D65" s="61">
        <f t="shared" si="4"/>
        <v>50</v>
      </c>
      <c r="E65" s="61">
        <f>E64</f>
        <v>0.038</v>
      </c>
      <c r="F65" s="23">
        <v>30</v>
      </c>
      <c r="G65" s="6">
        <v>98</v>
      </c>
      <c r="H65" s="48" t="str">
        <f t="shared" si="15"/>
        <v>OPTIMÁLNÍ</v>
      </c>
      <c r="I65" s="37">
        <f t="shared" si="16"/>
        <v>11533.699587140629</v>
      </c>
      <c r="J65" s="38">
        <f>PI()/((1/(2*D65)*LN(B65/(B65-2*C65)))+(1/('Zadání parametrů'!D$14*(B65)/1000)))*('Zadání parametrů'!D$16-'Zadání parametrů'!D$9)</f>
        <v>66.7145426498445</v>
      </c>
      <c r="K65" s="39">
        <f>J65/1000*24*'Zadání parametrů'!$D$6</f>
        <v>350.6516361675827</v>
      </c>
      <c r="L65" s="39">
        <f>K65*'Zadání parametrů'!$D$18</f>
        <v>504.93976991267533</v>
      </c>
      <c r="M65" s="38">
        <f>PI()/((1/(2*D65)*LN(B65/(B65-2*C65)))+(1/(2*E65)*LN((B65+2*F65)/B65))+(1/('Zadání parametrů'!D$14*(B65+2*F65)/1000)))*('Zadání parametrů'!D$16-'Zadání parametrů'!D$9)</f>
        <v>11.167020310172282</v>
      </c>
      <c r="N65" s="39">
        <f>M65/1000*24*'Zadání parametrů'!$D$6</f>
        <v>58.69385875026551</v>
      </c>
      <c r="O65" s="39">
        <f>N65*'Zadání parametrů'!$D$18</f>
        <v>84.51939325468354</v>
      </c>
      <c r="P65" s="40">
        <f t="shared" si="17"/>
        <v>420.4203766579918</v>
      </c>
      <c r="Q65" s="8">
        <f t="shared" si="18"/>
        <v>85.08150885630972</v>
      </c>
      <c r="R65" s="45">
        <f>(O65*'Zadání parametrů'!$D$4)+G65</f>
        <v>182.51939325468354</v>
      </c>
    </row>
    <row r="66" spans="1:18" ht="12.75">
      <c r="A66" s="4" t="s">
        <v>15</v>
      </c>
      <c r="B66" s="24">
        <f t="shared" si="19"/>
        <v>60.2</v>
      </c>
      <c r="C66" s="61">
        <f t="shared" si="19"/>
        <v>3.65</v>
      </c>
      <c r="D66" s="61">
        <f t="shared" si="4"/>
        <v>50</v>
      </c>
      <c r="E66" s="61">
        <f>E65</f>
        <v>0.038</v>
      </c>
      <c r="F66" s="23">
        <v>40</v>
      </c>
      <c r="G66" s="6">
        <v>112</v>
      </c>
      <c r="H66" s="48" t="str">
        <f t="shared" si="15"/>
        <v>----</v>
      </c>
      <c r="I66" s="37">
        <f t="shared" si="16"/>
        <v>8899.398654919461</v>
      </c>
      <c r="J66" s="38">
        <f>PI()/((1/(2*D66)*LN(B66/(B66-2*C66)))+(1/('Zadání parametrů'!D$14*(B66)/1000)))*('Zadání parametrů'!D$16-'Zadání parametrů'!D$9)</f>
        <v>66.7145426498445</v>
      </c>
      <c r="K66" s="39">
        <f>J66/1000*24*'Zadání parametrů'!$D$6</f>
        <v>350.6516361675827</v>
      </c>
      <c r="L66" s="39">
        <f>K66*'Zadání parametrů'!$D$18</f>
        <v>504.93976991267533</v>
      </c>
      <c r="M66" s="38">
        <f>PI()/((1/(2*D66)*LN(B66/(B66-2*C66)))+(1/(2*E66)*LN((B66+2*F66)/B66))+(1/('Zadání parametrů'!D$14*(B66+2*F66)/1000)))*('Zadání parametrů'!D$16-'Zadání parametrů'!D$9)</f>
        <v>9.368622315612626</v>
      </c>
      <c r="N66" s="39">
        <f>M66/1000*24*'Zadání parametrů'!$D$6</f>
        <v>49.241478890859966</v>
      </c>
      <c r="O66" s="39">
        <f>N66*'Zadání parametrů'!$D$18</f>
        <v>70.90792814503723</v>
      </c>
      <c r="P66" s="40">
        <f t="shared" si="17"/>
        <v>434.03184176763807</v>
      </c>
      <c r="Q66" s="8">
        <f t="shared" si="18"/>
        <v>94.18663808975883</v>
      </c>
      <c r="R66" s="45">
        <f>(O66*'Zadání parametrů'!$D$4)+G66</f>
        <v>182.90792814503723</v>
      </c>
    </row>
    <row r="67" spans="1:18" ht="12.75">
      <c r="A67" s="4" t="s">
        <v>15</v>
      </c>
      <c r="B67" s="24">
        <f t="shared" si="19"/>
        <v>60.2</v>
      </c>
      <c r="C67" s="61">
        <f t="shared" si="19"/>
        <v>3.65</v>
      </c>
      <c r="D67" s="61">
        <f t="shared" si="4"/>
        <v>50</v>
      </c>
      <c r="E67" s="61">
        <f>E66</f>
        <v>0.038</v>
      </c>
      <c r="F67" s="23">
        <v>50</v>
      </c>
      <c r="G67" s="6">
        <v>128</v>
      </c>
      <c r="H67" s="48" t="str">
        <f t="shared" si="15"/>
        <v>----</v>
      </c>
      <c r="I67" s="37">
        <f t="shared" si="16"/>
        <v>7398.245228709816</v>
      </c>
      <c r="J67" s="38">
        <f>PI()/((1/(2*D67)*LN(B67/(B67-2*C67)))+(1/('Zadání parametrů'!D$14*(B67)/1000)))*('Zadání parametrů'!D$16-'Zadání parametrů'!D$9)</f>
        <v>66.7145426498445</v>
      </c>
      <c r="K67" s="39">
        <f>J67/1000*24*'Zadání parametrů'!$D$6</f>
        <v>350.6516361675827</v>
      </c>
      <c r="L67" s="39">
        <f>K67*'Zadání parametrů'!$D$18</f>
        <v>504.93976991267533</v>
      </c>
      <c r="M67" s="38">
        <f>PI()/((1/(2*D67)*LN(B67/(B67-2*C67)))+(1/(2*E67)*LN((B67+2*F67)/B67))+(1/('Zadání parametrů'!D$14*(B67+2*F67)/1000)))*('Zadání parametrů'!D$16-'Zadání parametrů'!D$9)</f>
        <v>8.21306975796578</v>
      </c>
      <c r="N67" s="39">
        <f>M67/1000*24*'Zadání parametrů'!$D$6</f>
        <v>43.16789464786814</v>
      </c>
      <c r="O67" s="39">
        <f>N67*'Zadání parametrů'!$D$18</f>
        <v>62.16194234636875</v>
      </c>
      <c r="P67" s="40">
        <f t="shared" si="17"/>
        <v>442.7778275663066</v>
      </c>
      <c r="Q67" s="8">
        <f t="shared" si="18"/>
        <v>105.51567194950297</v>
      </c>
      <c r="R67" s="45">
        <f>(O67*'Zadání parametrů'!$D$4)+G67</f>
        <v>190.16194234636873</v>
      </c>
    </row>
    <row r="68" spans="1:18" ht="12.75">
      <c r="A68" s="4" t="s">
        <v>15</v>
      </c>
      <c r="B68" s="24">
        <f t="shared" si="19"/>
        <v>60.2</v>
      </c>
      <c r="C68" s="61">
        <f t="shared" si="19"/>
        <v>3.65</v>
      </c>
      <c r="D68" s="61">
        <f t="shared" si="4"/>
        <v>50</v>
      </c>
      <c r="E68" s="61">
        <f>E67</f>
        <v>0.038</v>
      </c>
      <c r="F68" s="23">
        <v>60</v>
      </c>
      <c r="G68" s="6">
        <v>169</v>
      </c>
      <c r="H68" s="48" t="str">
        <f t="shared" si="15"/>
        <v>----</v>
      </c>
      <c r="I68" s="37">
        <f t="shared" si="16"/>
        <v>7462.7920203765125</v>
      </c>
      <c r="J68" s="38">
        <f>PI()/((1/(2*D68)*LN(B68/(B68-2*C68)))+(1/('Zadání parametrů'!D$14*(B68)/1000)))*('Zadání parametrů'!D$16-'Zadání parametrů'!D$9)</f>
        <v>66.7145426498445</v>
      </c>
      <c r="K68" s="39">
        <f>J68/1000*24*'Zadání parametrů'!$D$6</f>
        <v>350.6516361675827</v>
      </c>
      <c r="L68" s="39">
        <f>K68*'Zadání parametrů'!$D$18</f>
        <v>504.93976991267533</v>
      </c>
      <c r="M68" s="38">
        <f>PI()/((1/(2*D68)*LN(B68/(B68-2*C68)))+(1/(2*E68)*LN((B68+2*F68)/B68))+(1/('Zadání parametrů'!D$14*(B68+2*F68)/1000)))*('Zadání parametrů'!D$16-'Zadání parametrů'!D$9)</f>
        <v>7.40249472411524</v>
      </c>
      <c r="N68" s="39">
        <f>M68/1000*24*'Zadání parametrů'!$D$6</f>
        <v>38.907512269949706</v>
      </c>
      <c r="O68" s="39">
        <f>N68*'Zadání parametrů'!$D$18</f>
        <v>56.026974544256355</v>
      </c>
      <c r="P68" s="40">
        <f t="shared" si="17"/>
        <v>448.912795368419</v>
      </c>
      <c r="Q68" s="8">
        <f t="shared" si="18"/>
        <v>137.40976117505323</v>
      </c>
      <c r="R68" s="45">
        <f>(O68*'Zadání parametrů'!$D$4)+G68</f>
        <v>225.02697454425635</v>
      </c>
    </row>
    <row r="69" spans="1:18" ht="15.75" customHeight="1">
      <c r="A69" s="42"/>
      <c r="B69" s="22"/>
      <c r="C69" s="25"/>
      <c r="D69" s="30"/>
      <c r="E69" s="30"/>
      <c r="F69" s="22"/>
      <c r="G69" s="25"/>
      <c r="H69" s="22"/>
      <c r="I69" s="31"/>
      <c r="J69" s="31"/>
      <c r="K69" s="33"/>
      <c r="L69" s="33"/>
      <c r="M69" s="33"/>
      <c r="N69" s="33"/>
      <c r="O69" s="49" t="s">
        <v>60</v>
      </c>
      <c r="P69" s="34"/>
      <c r="Q69" s="8"/>
      <c r="R69" s="47">
        <f>MIN(R63:R68)</f>
        <v>182.51939325468354</v>
      </c>
    </row>
    <row r="70" spans="1:18" ht="21.75" customHeight="1">
      <c r="A70" s="41" t="s">
        <v>70</v>
      </c>
      <c r="B70" s="22"/>
      <c r="C70" s="42"/>
      <c r="D70" s="30"/>
      <c r="E70" s="30"/>
      <c r="F70" s="22"/>
      <c r="G70" s="25"/>
      <c r="H70" s="22"/>
      <c r="I70" s="31"/>
      <c r="J70" s="31"/>
      <c r="K70" s="33"/>
      <c r="L70" s="33"/>
      <c r="M70" s="33"/>
      <c r="N70" s="33"/>
      <c r="O70" s="33"/>
      <c r="P70" s="34"/>
      <c r="Q70" s="35"/>
      <c r="R70" s="43"/>
    </row>
    <row r="71" spans="1:18" ht="12.75">
      <c r="A71" s="4" t="s">
        <v>15</v>
      </c>
      <c r="B71" s="23">
        <v>76</v>
      </c>
      <c r="C71" s="6">
        <v>3.2</v>
      </c>
      <c r="D71" s="61">
        <f t="shared" si="4"/>
        <v>50</v>
      </c>
      <c r="E71" s="6">
        <v>0.038</v>
      </c>
      <c r="F71" s="23">
        <v>20</v>
      </c>
      <c r="G71" s="6">
        <v>91</v>
      </c>
      <c r="H71" s="48" t="str">
        <f aca="true" t="shared" si="20" ref="H71:H77">IF(R71=R$78,"OPTIMÁLNÍ","----")</f>
        <v>----</v>
      </c>
      <c r="I71" s="37">
        <f>G71/((3.14*(B71+2*F71)^2/4-3.14*B71^2/4)/1000000)</f>
        <v>15094.214437367302</v>
      </c>
      <c r="J71" s="38">
        <f>PI()/((1/(2*D71)*LN(B71/(B71-2*C71)))+(1/('Zadání parametrů'!D$14*(B71)/1000)))*('Zadání parametrů'!D$16-'Zadání parametrů'!D$9)</f>
        <v>84.23356747444387</v>
      </c>
      <c r="K71" s="39">
        <f>J71/1000*24*'Zadání parametrů'!$D$6</f>
        <v>442.73163064567694</v>
      </c>
      <c r="L71" s="39">
        <f>K71*'Zadání parametrů'!$D$18</f>
        <v>637.5353332287084</v>
      </c>
      <c r="M71" s="38">
        <f>PI()/((1/(2*D71)*LN(B71/(B71-2*C71)))+(1/(2*E71)*LN((B71+2*F71)/B71))+(1/('Zadání parametrů'!D$14*(B71+2*F71)/1000)))*('Zadání parametrů'!D$16-'Zadání parametrů'!D$9)</f>
        <v>17.256923924616487</v>
      </c>
      <c r="N71" s="39">
        <f>M71/1000*24*'Zadání parametrů'!$D$6</f>
        <v>90.70239214778427</v>
      </c>
      <c r="O71" s="39">
        <f>N71*'Zadání parametrů'!$D$18</f>
        <v>130.6118104058786</v>
      </c>
      <c r="P71" s="40">
        <f>L71-O71</f>
        <v>506.9235228228298</v>
      </c>
      <c r="Q71" s="8">
        <f>G71/P71*365</f>
        <v>65.52270412515198</v>
      </c>
      <c r="R71" s="45">
        <f>(O71*'Zadání parametrů'!$D$4)+G71</f>
        <v>221.6118104058786</v>
      </c>
    </row>
    <row r="72" spans="1:18" ht="12.75">
      <c r="A72" s="4" t="s">
        <v>15</v>
      </c>
      <c r="B72" s="24">
        <f aca="true" t="shared" si="21" ref="B72:C77">B$71</f>
        <v>76</v>
      </c>
      <c r="C72" s="61">
        <f t="shared" si="21"/>
        <v>3.2</v>
      </c>
      <c r="D72" s="61">
        <f aca="true" t="shared" si="22" ref="D72:D96">D$7</f>
        <v>50</v>
      </c>
      <c r="E72" s="61">
        <f aca="true" t="shared" si="23" ref="E72:E77">E71</f>
        <v>0.038</v>
      </c>
      <c r="F72" s="23">
        <v>25</v>
      </c>
      <c r="G72" s="6">
        <v>101</v>
      </c>
      <c r="H72" s="48" t="str">
        <f t="shared" si="20"/>
        <v>----</v>
      </c>
      <c r="I72" s="37">
        <f aca="true" t="shared" si="24" ref="I72:I77">G72/((3.14*(B72+2*F72)^2/4-3.14*B72^2/4)/1000000)</f>
        <v>12738.853503184713</v>
      </c>
      <c r="J72" s="38">
        <f>PI()/((1/(2*D72)*LN(B72/(B72-2*C72)))+(1/('Zadání parametrů'!D$14*(B72)/1000)))*('Zadání parametrů'!D$16-'Zadání parametrů'!D$9)</f>
        <v>84.23356747444387</v>
      </c>
      <c r="K72" s="39">
        <f>J72/1000*24*'Zadání parametrů'!$D$6</f>
        <v>442.73163064567694</v>
      </c>
      <c r="L72" s="39">
        <f>K72*'Zadání parametrů'!$D$18</f>
        <v>637.5353332287084</v>
      </c>
      <c r="M72" s="38">
        <f>PI()/((1/(2*D72)*LN(B72/(B72-2*C72)))+(1/(2*E72)*LN((B72+2*F72)/B72))+(1/('Zadání parametrů'!D$14*(B72+2*F72)/1000)))*('Zadání parametrů'!D$16-'Zadání parametrů'!D$9)</f>
        <v>14.893971597749717</v>
      </c>
      <c r="N72" s="39">
        <f>M72/1000*24*'Zadání parametrů'!$D$6</f>
        <v>78.2827147177725</v>
      </c>
      <c r="O72" s="39">
        <f>N72*'Zadání parametrů'!$D$18</f>
        <v>112.72742483038205</v>
      </c>
      <c r="P72" s="40">
        <f aca="true" t="shared" si="25" ref="P72:P77">L72-O72</f>
        <v>524.8079083983264</v>
      </c>
      <c r="Q72" s="8">
        <f aca="true" t="shared" si="26" ref="Q72:Q77">G72/P72*365</f>
        <v>70.24474938365384</v>
      </c>
      <c r="R72" s="45">
        <f>(O72*'Zadání parametrů'!$D$4)+G72</f>
        <v>213.72742483038206</v>
      </c>
    </row>
    <row r="73" spans="1:18" ht="12.75">
      <c r="A73" s="4" t="s">
        <v>15</v>
      </c>
      <c r="B73" s="24">
        <f t="shared" si="21"/>
        <v>76</v>
      </c>
      <c r="C73" s="61">
        <f t="shared" si="21"/>
        <v>3.2</v>
      </c>
      <c r="D73" s="61">
        <f t="shared" si="22"/>
        <v>50</v>
      </c>
      <c r="E73" s="61">
        <f t="shared" si="23"/>
        <v>0.038</v>
      </c>
      <c r="F73" s="23">
        <v>30</v>
      </c>
      <c r="G73" s="6">
        <v>114</v>
      </c>
      <c r="H73" s="48" t="str">
        <f t="shared" si="20"/>
        <v>----</v>
      </c>
      <c r="I73" s="37">
        <f t="shared" si="24"/>
        <v>11416.897007571204</v>
      </c>
      <c r="J73" s="38">
        <f>PI()/((1/(2*D73)*LN(B73/(B73-2*C73)))+(1/('Zadání parametrů'!D$14*(B73)/1000)))*('Zadání parametrů'!D$16-'Zadání parametrů'!D$9)</f>
        <v>84.23356747444387</v>
      </c>
      <c r="K73" s="39">
        <f>J73/1000*24*'Zadání parametrů'!$D$6</f>
        <v>442.73163064567694</v>
      </c>
      <c r="L73" s="39">
        <f>K73*'Zadání parametrů'!$D$18</f>
        <v>637.5353332287084</v>
      </c>
      <c r="M73" s="38">
        <f>PI()/((1/(2*D73)*LN(B73/(B73-2*C73)))+(1/(2*E73)*LN((B73+2*F73)/B73))+(1/('Zadání parametrů'!D$14*(B73+2*F73)/1000)))*('Zadání parametrů'!D$16-'Zadání parametrů'!D$9)</f>
        <v>13.214257320628576</v>
      </c>
      <c r="N73" s="39">
        <f>M73/1000*24*'Zadání parametrů'!$D$6</f>
        <v>69.4541364772238</v>
      </c>
      <c r="O73" s="39">
        <f>N73*'Zadání parametrů'!$D$18</f>
        <v>100.01423656706476</v>
      </c>
      <c r="P73" s="40">
        <f t="shared" si="25"/>
        <v>537.5210966616437</v>
      </c>
      <c r="Q73" s="8">
        <f t="shared" si="26"/>
        <v>77.41091514068046</v>
      </c>
      <c r="R73" s="45">
        <f>(O73*'Zadání parametrů'!$D$4)+G73</f>
        <v>214.01423656706476</v>
      </c>
    </row>
    <row r="74" spans="1:18" ht="12.75">
      <c r="A74" s="4" t="s">
        <v>15</v>
      </c>
      <c r="B74" s="24">
        <f t="shared" si="21"/>
        <v>76</v>
      </c>
      <c r="C74" s="61">
        <f t="shared" si="21"/>
        <v>3.2</v>
      </c>
      <c r="D74" s="61">
        <f t="shared" si="22"/>
        <v>50</v>
      </c>
      <c r="E74" s="61">
        <f t="shared" si="23"/>
        <v>0.038</v>
      </c>
      <c r="F74" s="23">
        <v>40</v>
      </c>
      <c r="G74" s="6">
        <v>124</v>
      </c>
      <c r="H74" s="48" t="str">
        <f t="shared" si="20"/>
        <v>OPTIMÁLNÍ</v>
      </c>
      <c r="I74" s="37">
        <f t="shared" si="24"/>
        <v>8510.871952558751</v>
      </c>
      <c r="J74" s="38">
        <f>PI()/((1/(2*D74)*LN(B74/(B74-2*C74)))+(1/('Zadání parametrů'!D$14*(B74)/1000)))*('Zadání parametrů'!D$16-'Zadání parametrů'!D$9)</f>
        <v>84.23356747444387</v>
      </c>
      <c r="K74" s="39">
        <f>J74/1000*24*'Zadání parametrů'!$D$6</f>
        <v>442.73163064567694</v>
      </c>
      <c r="L74" s="39">
        <f>K74*'Zadání parametrů'!$D$18</f>
        <v>637.5353332287084</v>
      </c>
      <c r="M74" s="38">
        <f>PI()/((1/(2*D74)*LN(B74/(B74-2*C74)))+(1/(2*E74)*LN((B74+2*F74)/B74))+(1/('Zadání parametrů'!D$14*(B74+2*F74)/1000)))*('Zadání parametrů'!D$16-'Zadání parametrů'!D$9)</f>
        <v>10.976567616889994</v>
      </c>
      <c r="N74" s="39">
        <f>M74/1000*24*'Zadání parametrů'!$D$6</f>
        <v>57.69283939437381</v>
      </c>
      <c r="O74" s="39">
        <f>N74*'Zadání parametrů'!$D$18</f>
        <v>83.07792134607814</v>
      </c>
      <c r="P74" s="40">
        <f t="shared" si="25"/>
        <v>554.4574118826303</v>
      </c>
      <c r="Q74" s="8">
        <f t="shared" si="26"/>
        <v>81.6293533642595</v>
      </c>
      <c r="R74" s="45">
        <f>(O74*'Zadání parametrů'!$D$4)+G74</f>
        <v>207.07792134607814</v>
      </c>
    </row>
    <row r="75" spans="1:18" ht="12.75">
      <c r="A75" s="4" t="s">
        <v>15</v>
      </c>
      <c r="B75" s="24">
        <f t="shared" si="21"/>
        <v>76</v>
      </c>
      <c r="C75" s="61">
        <f t="shared" si="21"/>
        <v>3.2</v>
      </c>
      <c r="D75" s="61">
        <f t="shared" si="22"/>
        <v>50</v>
      </c>
      <c r="E75" s="61">
        <f t="shared" si="23"/>
        <v>0.038</v>
      </c>
      <c r="F75" s="23">
        <v>50</v>
      </c>
      <c r="G75" s="6">
        <v>146</v>
      </c>
      <c r="H75" s="48" t="str">
        <f t="shared" si="20"/>
        <v>----</v>
      </c>
      <c r="I75" s="37">
        <f t="shared" si="24"/>
        <v>7380.446870892731</v>
      </c>
      <c r="J75" s="38">
        <f>PI()/((1/(2*D75)*LN(B75/(B75-2*C75)))+(1/('Zadání parametrů'!D$14*(B75)/1000)))*('Zadání parametrů'!D$16-'Zadání parametrů'!D$9)</f>
        <v>84.23356747444387</v>
      </c>
      <c r="K75" s="39">
        <f>J75/1000*24*'Zadání parametrů'!$D$6</f>
        <v>442.73163064567694</v>
      </c>
      <c r="L75" s="39">
        <f>K75*'Zadání parametrů'!$D$18</f>
        <v>637.5353332287084</v>
      </c>
      <c r="M75" s="38">
        <f>PI()/((1/(2*D75)*LN(B75/(B75-2*C75)))+(1/(2*E75)*LN((B75+2*F75)/B75))+(1/('Zadání parametrů'!D$14*(B75+2*F75)/1000)))*('Zadání parametrů'!D$16-'Zadání parametrů'!D$9)</f>
        <v>9.545860354146805</v>
      </c>
      <c r="N75" s="39">
        <f>M75/1000*24*'Zadání parametrů'!$D$6</f>
        <v>50.17304202139561</v>
      </c>
      <c r="O75" s="39">
        <f>N75*'Zadání parametrů'!$D$18</f>
        <v>72.24938280908161</v>
      </c>
      <c r="P75" s="40">
        <f t="shared" si="25"/>
        <v>565.2859504196268</v>
      </c>
      <c r="Q75" s="8">
        <f t="shared" si="26"/>
        <v>94.27087292801353</v>
      </c>
      <c r="R75" s="45">
        <f>(O75*'Zadání parametrů'!$D$4)+G75</f>
        <v>218.24938280908162</v>
      </c>
    </row>
    <row r="76" spans="1:18" ht="12.75">
      <c r="A76" s="4" t="s">
        <v>15</v>
      </c>
      <c r="B76" s="24">
        <f t="shared" si="21"/>
        <v>76</v>
      </c>
      <c r="C76" s="61">
        <f t="shared" si="21"/>
        <v>3.2</v>
      </c>
      <c r="D76" s="61">
        <f t="shared" si="22"/>
        <v>50</v>
      </c>
      <c r="E76" s="61">
        <f t="shared" si="23"/>
        <v>0.038</v>
      </c>
      <c r="F76" s="23">
        <v>60</v>
      </c>
      <c r="G76" s="6">
        <v>194</v>
      </c>
      <c r="H76" s="48" t="str">
        <f t="shared" si="20"/>
        <v>----</v>
      </c>
      <c r="I76" s="37">
        <f t="shared" si="24"/>
        <v>7571.4999375546395</v>
      </c>
      <c r="J76" s="38">
        <f>PI()/((1/(2*D76)*LN(B76/(B76-2*C76)))+(1/('Zadání parametrů'!D$14*(B76)/1000)))*('Zadání parametrů'!D$16-'Zadání parametrů'!D$9)</f>
        <v>84.23356747444387</v>
      </c>
      <c r="K76" s="39">
        <f>J76/1000*24*'Zadání parametrů'!$D$6</f>
        <v>442.73163064567694</v>
      </c>
      <c r="L76" s="39">
        <f>K76*'Zadání parametrů'!$D$18</f>
        <v>637.5353332287084</v>
      </c>
      <c r="M76" s="38">
        <f>PI()/((1/(2*D76)*LN(B76/(B76-2*C76)))+(1/(2*E76)*LN((B76+2*F76)/B76))+(1/('Zadání parametrů'!D$14*(B76+2*F76)/1000)))*('Zadání parametrů'!D$16-'Zadání parametrů'!D$9)</f>
        <v>8.546730740710066</v>
      </c>
      <c r="N76" s="39">
        <f>M76/1000*24*'Zadání parametrů'!$D$6</f>
        <v>44.921616773172104</v>
      </c>
      <c r="O76" s="39">
        <f>N76*'Zadání parametrů'!$D$18</f>
        <v>64.68730927783388</v>
      </c>
      <c r="P76" s="40">
        <f t="shared" si="25"/>
        <v>572.8480239508746</v>
      </c>
      <c r="Q76" s="8">
        <f t="shared" si="26"/>
        <v>123.61044646995661</v>
      </c>
      <c r="R76" s="45">
        <f>(O76*'Zadání parametrů'!$D$4)+G76</f>
        <v>258.6873092778339</v>
      </c>
    </row>
    <row r="77" spans="1:18" ht="12.75">
      <c r="A77" s="4" t="s">
        <v>15</v>
      </c>
      <c r="B77" s="24">
        <f t="shared" si="21"/>
        <v>76</v>
      </c>
      <c r="C77" s="61">
        <f t="shared" si="21"/>
        <v>3.2</v>
      </c>
      <c r="D77" s="61">
        <f t="shared" si="22"/>
        <v>50</v>
      </c>
      <c r="E77" s="61">
        <f t="shared" si="23"/>
        <v>0.038</v>
      </c>
      <c r="F77" s="23">
        <v>80</v>
      </c>
      <c r="G77" s="6">
        <v>218</v>
      </c>
      <c r="H77" s="48" t="str">
        <f t="shared" si="20"/>
        <v>----</v>
      </c>
      <c r="I77" s="37">
        <f t="shared" si="24"/>
        <v>5563.040992977299</v>
      </c>
      <c r="J77" s="38">
        <f>PI()/((1/(2*D77)*LN(B77/(B77-2*C77)))+(1/('Zadání parametrů'!D$14*(B77)/1000)))*('Zadání parametrů'!D$16-'Zadání parametrů'!D$9)</f>
        <v>84.23356747444387</v>
      </c>
      <c r="K77" s="39">
        <f>J77/1000*24*'Zadání parametrů'!$D$6</f>
        <v>442.73163064567694</v>
      </c>
      <c r="L77" s="39">
        <f>K77*'Zadání parametrů'!$D$18</f>
        <v>637.5353332287084</v>
      </c>
      <c r="M77" s="38">
        <f>PI()/((1/(2*D77)*LN(B77/(B77-2*C77)))+(1/(2*E77)*LN((B77+2*F77)/B77))+(1/('Zadání parametrů'!D$14*(B77+2*F77)/1000)))*('Zadání parametrů'!D$16-'Zadání parametrů'!D$9)</f>
        <v>7.232893942470125</v>
      </c>
      <c r="N77" s="39">
        <f>M77/1000*24*'Zadání parametrů'!$D$6</f>
        <v>38.016090561622974</v>
      </c>
      <c r="O77" s="39">
        <f>N77*'Zadání parametrů'!$D$18</f>
        <v>54.74332369004347</v>
      </c>
      <c r="P77" s="40">
        <f t="shared" si="25"/>
        <v>582.792009538665</v>
      </c>
      <c r="Q77" s="8">
        <f t="shared" si="26"/>
        <v>136.5324141334525</v>
      </c>
      <c r="R77" s="45">
        <f>(O77*'Zadání parametrů'!$D$4)+G77</f>
        <v>272.74332369004344</v>
      </c>
    </row>
    <row r="78" spans="1:18" ht="15.75" customHeight="1">
      <c r="A78" s="42"/>
      <c r="B78" s="22"/>
      <c r="C78" s="25"/>
      <c r="D78" s="30"/>
      <c r="E78" s="30"/>
      <c r="F78" s="22"/>
      <c r="G78" s="25"/>
      <c r="H78" s="22"/>
      <c r="I78" s="31"/>
      <c r="J78" s="31"/>
      <c r="K78" s="33"/>
      <c r="L78" s="33"/>
      <c r="M78" s="33"/>
      <c r="N78" s="33"/>
      <c r="O78" s="49" t="s">
        <v>60</v>
      </c>
      <c r="P78" s="34"/>
      <c r="Q78" s="8"/>
      <c r="R78" s="47">
        <f>MIN(R71:R77)</f>
        <v>207.07792134607814</v>
      </c>
    </row>
    <row r="79" spans="1:18" ht="21.75" customHeight="1">
      <c r="A79" s="41" t="s">
        <v>71</v>
      </c>
      <c r="B79" s="22"/>
      <c r="C79" s="42"/>
      <c r="D79" s="30"/>
      <c r="E79" s="30"/>
      <c r="F79" s="22"/>
      <c r="G79" s="25"/>
      <c r="H79" s="22"/>
      <c r="I79" s="31"/>
      <c r="J79" s="31"/>
      <c r="K79" s="33"/>
      <c r="L79" s="33"/>
      <c r="M79" s="33"/>
      <c r="N79" s="33"/>
      <c r="O79" s="33"/>
      <c r="P79" s="34"/>
      <c r="Q79" s="35"/>
      <c r="R79" s="43"/>
    </row>
    <row r="80" spans="1:18" ht="12.75">
      <c r="A80" s="4" t="s">
        <v>15</v>
      </c>
      <c r="B80" s="23">
        <v>89</v>
      </c>
      <c r="C80" s="6">
        <v>3.6</v>
      </c>
      <c r="D80" s="61">
        <f t="shared" si="22"/>
        <v>50</v>
      </c>
      <c r="E80" s="6">
        <v>0.038</v>
      </c>
      <c r="F80" s="23">
        <v>20</v>
      </c>
      <c r="G80" s="6">
        <v>99</v>
      </c>
      <c r="H80" s="48" t="str">
        <f aca="true" t="shared" si="27" ref="H80:H87">IF(R80=R$88,"OPTIMÁLNÍ","----")</f>
        <v>----</v>
      </c>
      <c r="I80" s="37">
        <f>G80/((3.14*(B80+2*F80)^2/4-3.14*B80^2/4)/1000000)</f>
        <v>14462.689183661541</v>
      </c>
      <c r="J80" s="38">
        <f>PI()/((1/(2*D80)*LN(B80/(B80-2*C80)))+(1/('Zadání parametrů'!D$14*(B80)/1000)))*('Zadání parametrů'!D$16-'Zadání parametrů'!D$9)</f>
        <v>98.63383526708837</v>
      </c>
      <c r="K80" s="39">
        <f>J80/1000*24*'Zadání parametrů'!$D$6</f>
        <v>518.4194381638165</v>
      </c>
      <c r="L80" s="39">
        <f>K80*'Zadání parametrů'!$D$18</f>
        <v>746.5260812289239</v>
      </c>
      <c r="M80" s="38">
        <f>PI()/((1/(2*D80)*LN(B80/(B80-2*C80)))+(1/(2*E80)*LN((B80+2*F80)/B80))+(1/('Zadání parametrů'!D$14*(B80+2*F80)/1000)))*('Zadání parametrů'!D$16-'Zadání parametrů'!D$9)</f>
        <v>19.595240586108954</v>
      </c>
      <c r="N80" s="39">
        <f>M80/1000*24*'Zadání parametrů'!$D$6</f>
        <v>102.99258452058865</v>
      </c>
      <c r="O80" s="39">
        <f>N80*'Zadání parametrů'!$D$18</f>
        <v>148.30973697691132</v>
      </c>
      <c r="P80" s="40">
        <f>L80-O80</f>
        <v>598.2163442520125</v>
      </c>
      <c r="Q80" s="8">
        <f>G80/P80*365</f>
        <v>60.40456825896635</v>
      </c>
      <c r="R80" s="45">
        <f>(O80*'Zadání parametrů'!$D$4)+G80</f>
        <v>247.30973697691132</v>
      </c>
    </row>
    <row r="81" spans="1:18" ht="12.75">
      <c r="A81" s="4" t="s">
        <v>15</v>
      </c>
      <c r="B81" s="24">
        <f aca="true" t="shared" si="28" ref="B81:C87">B$80</f>
        <v>89</v>
      </c>
      <c r="C81" s="61">
        <f t="shared" si="28"/>
        <v>3.6</v>
      </c>
      <c r="D81" s="61">
        <f t="shared" si="22"/>
        <v>50</v>
      </c>
      <c r="E81" s="61">
        <f>E80</f>
        <v>0.038</v>
      </c>
      <c r="F81" s="23">
        <v>25</v>
      </c>
      <c r="G81" s="6">
        <v>109</v>
      </c>
      <c r="H81" s="48" t="str">
        <f t="shared" si="27"/>
        <v>----</v>
      </c>
      <c r="I81" s="37">
        <f aca="true" t="shared" si="29" ref="I81:I87">G81/((3.14*(B81+2*F81)^2/4-3.14*B81^2/4)/1000000)</f>
        <v>12180.13185830819</v>
      </c>
      <c r="J81" s="38">
        <f>PI()/((1/(2*D81)*LN(B81/(B81-2*C81)))+(1/('Zadání parametrů'!D$14*(B81)/1000)))*('Zadání parametrů'!D$16-'Zadání parametrů'!D$9)</f>
        <v>98.63383526708837</v>
      </c>
      <c r="K81" s="39">
        <f>J81/1000*24*'Zadání parametrů'!$D$6</f>
        <v>518.4194381638165</v>
      </c>
      <c r="L81" s="39">
        <f>K81*'Zadání parametrů'!$D$18</f>
        <v>746.5260812289239</v>
      </c>
      <c r="M81" s="38">
        <f>PI()/((1/(2*D81)*LN(B81/(B81-2*C81)))+(1/(2*E81)*LN((B81+2*F81)/B81))+(1/('Zadání parametrů'!D$14*(B81+2*F81)/1000)))*('Zadání parametrů'!D$16-'Zadání parametrů'!D$9)</f>
        <v>16.838513435173763</v>
      </c>
      <c r="N81" s="39">
        <f>M81/1000*24*'Zadání parametrů'!$D$6</f>
        <v>88.50322661527329</v>
      </c>
      <c r="O81" s="39">
        <f>N81*'Zadání parametrů'!$D$18</f>
        <v>127.44500317200254</v>
      </c>
      <c r="P81" s="40">
        <f aca="true" t="shared" si="30" ref="P81:P87">L81-O81</f>
        <v>619.0810780569213</v>
      </c>
      <c r="Q81" s="8">
        <f aca="true" t="shared" si="31" ref="Q81:Q87">G81/P81*365</f>
        <v>64.26460347467116</v>
      </c>
      <c r="R81" s="45">
        <f>(O81*'Zadání parametrů'!$D$4)+G81</f>
        <v>236.44500317200254</v>
      </c>
    </row>
    <row r="82" spans="1:18" ht="12.75">
      <c r="A82" s="4" t="s">
        <v>15</v>
      </c>
      <c r="B82" s="24">
        <f t="shared" si="28"/>
        <v>89</v>
      </c>
      <c r="C82" s="61">
        <f t="shared" si="28"/>
        <v>3.6</v>
      </c>
      <c r="D82" s="61">
        <f t="shared" si="22"/>
        <v>50</v>
      </c>
      <c r="E82" s="61">
        <f aca="true" t="shared" si="32" ref="E82:E87">E81</f>
        <v>0.038</v>
      </c>
      <c r="F82" s="23">
        <v>30</v>
      </c>
      <c r="G82" s="6">
        <v>119</v>
      </c>
      <c r="H82" s="48" t="str">
        <f t="shared" si="27"/>
        <v>----</v>
      </c>
      <c r="I82" s="37">
        <f t="shared" si="29"/>
        <v>10615.71125265393</v>
      </c>
      <c r="J82" s="38">
        <f>PI()/((1/(2*D82)*LN(B82/(B82-2*C82)))+(1/('Zadání parametrů'!D$14*(B82)/1000)))*('Zadání parametrů'!D$16-'Zadání parametrů'!D$9)</f>
        <v>98.63383526708837</v>
      </c>
      <c r="K82" s="39">
        <f>J82/1000*24*'Zadání parametrů'!$D$6</f>
        <v>518.4194381638165</v>
      </c>
      <c r="L82" s="39">
        <f>K82*'Zadání parametrů'!$D$18</f>
        <v>746.5260812289239</v>
      </c>
      <c r="M82" s="38">
        <f>PI()/((1/(2*D82)*LN(B82/(B82-2*C82)))+(1/(2*E82)*LN((B82+2*F82)/B82))+(1/('Zadání parametrů'!D$14*(B82+2*F82)/1000)))*('Zadání parametrů'!D$16-'Zadání parametrů'!D$9)</f>
        <v>14.8821938814554</v>
      </c>
      <c r="N82" s="39">
        <f>M82/1000*24*'Zadání parametrů'!$D$6</f>
        <v>78.22081104092959</v>
      </c>
      <c r="O82" s="39">
        <f>N82*'Zadání parametrů'!$D$18</f>
        <v>112.63828328613192</v>
      </c>
      <c r="P82" s="40">
        <f t="shared" si="30"/>
        <v>633.887797942792</v>
      </c>
      <c r="Q82" s="8">
        <f t="shared" si="31"/>
        <v>68.5215903208157</v>
      </c>
      <c r="R82" s="45">
        <f>(O82*'Zadání parametrů'!$D$4)+G82</f>
        <v>231.63828328613192</v>
      </c>
    </row>
    <row r="83" spans="1:18" ht="12.75">
      <c r="A83" s="4" t="s">
        <v>15</v>
      </c>
      <c r="B83" s="24">
        <f t="shared" si="28"/>
        <v>89</v>
      </c>
      <c r="C83" s="61">
        <f t="shared" si="28"/>
        <v>3.6</v>
      </c>
      <c r="D83" s="61">
        <f t="shared" si="22"/>
        <v>50</v>
      </c>
      <c r="E83" s="61">
        <f t="shared" si="32"/>
        <v>0.038</v>
      </c>
      <c r="F83" s="23">
        <v>40</v>
      </c>
      <c r="G83" s="6">
        <v>132</v>
      </c>
      <c r="H83" s="48" t="str">
        <f t="shared" si="27"/>
        <v>OPTIMÁLNÍ</v>
      </c>
      <c r="I83" s="37">
        <f t="shared" si="29"/>
        <v>8146.941193897199</v>
      </c>
      <c r="J83" s="38">
        <f>PI()/((1/(2*D83)*LN(B83/(B83-2*C83)))+(1/('Zadání parametrů'!D$14*(B83)/1000)))*('Zadání parametrů'!D$16-'Zadání parametrů'!D$9)</f>
        <v>98.63383526708837</v>
      </c>
      <c r="K83" s="39">
        <f>J83/1000*24*'Zadání parametrů'!$D$6</f>
        <v>518.4194381638165</v>
      </c>
      <c r="L83" s="39">
        <f>K83*'Zadání parametrů'!$D$18</f>
        <v>746.5260812289239</v>
      </c>
      <c r="M83" s="38">
        <f>PI()/((1/(2*D83)*LN(B83/(B83-2*C83)))+(1/(2*E83)*LN((B83+2*F83)/B83))+(1/('Zadání parametrů'!D$14*(B83+2*F83)/1000)))*('Zadání parametrů'!D$16-'Zadání parametrů'!D$9)</f>
        <v>12.281839870211016</v>
      </c>
      <c r="N83" s="39">
        <f>M83/1000*24*'Zadání parametrů'!$D$6</f>
        <v>64.55335035782909</v>
      </c>
      <c r="O83" s="39">
        <f>N83*'Zadání parametrů'!$D$18</f>
        <v>92.9570847951114</v>
      </c>
      <c r="P83" s="40">
        <f t="shared" si="30"/>
        <v>653.5689964338125</v>
      </c>
      <c r="Q83" s="8">
        <f t="shared" si="31"/>
        <v>73.71830711507631</v>
      </c>
      <c r="R83" s="45">
        <f>(O83*'Zadání parametrů'!$D$4)+G83</f>
        <v>224.9570847951114</v>
      </c>
    </row>
    <row r="84" spans="1:18" ht="12.75">
      <c r="A84" s="4" t="s">
        <v>15</v>
      </c>
      <c r="B84" s="24">
        <f t="shared" si="28"/>
        <v>89</v>
      </c>
      <c r="C84" s="61">
        <f t="shared" si="28"/>
        <v>3.6</v>
      </c>
      <c r="D84" s="61">
        <f t="shared" si="22"/>
        <v>50</v>
      </c>
      <c r="E84" s="61">
        <f t="shared" si="32"/>
        <v>0.038</v>
      </c>
      <c r="F84" s="23">
        <v>50</v>
      </c>
      <c r="G84" s="6">
        <v>169</v>
      </c>
      <c r="H84" s="48" t="str">
        <f t="shared" si="27"/>
        <v>----</v>
      </c>
      <c r="I84" s="37">
        <f t="shared" si="29"/>
        <v>7744.123172799341</v>
      </c>
      <c r="J84" s="38">
        <f>PI()/((1/(2*D84)*LN(B84/(B84-2*C84)))+(1/('Zadání parametrů'!D$14*(B84)/1000)))*('Zadání parametrů'!D$16-'Zadání parametrů'!D$9)</f>
        <v>98.63383526708837</v>
      </c>
      <c r="K84" s="39">
        <f>J84/1000*24*'Zadání parametrů'!$D$6</f>
        <v>518.4194381638165</v>
      </c>
      <c r="L84" s="39">
        <f>K84*'Zadání parametrů'!$D$18</f>
        <v>746.5260812289239</v>
      </c>
      <c r="M84" s="38">
        <f>PI()/((1/(2*D84)*LN(B84/(B84-2*C84)))+(1/(2*E84)*LN((B84+2*F84)/B84))+(1/('Zadání parametrů'!D$14*(B84+2*F84)/1000)))*('Zadání parametrů'!D$16-'Zadání parametrů'!D$9)</f>
        <v>10.624064523365321</v>
      </c>
      <c r="N84" s="39">
        <f>M84/1000*24*'Zadání parametrů'!$D$6</f>
        <v>55.840083134808125</v>
      </c>
      <c r="O84" s="39">
        <f>N84*'Zadání parametrů'!$D$18</f>
        <v>80.4099448619694</v>
      </c>
      <c r="P84" s="40">
        <f t="shared" si="30"/>
        <v>666.1161363669545</v>
      </c>
      <c r="Q84" s="8">
        <f t="shared" si="31"/>
        <v>92.60397193863888</v>
      </c>
      <c r="R84" s="45">
        <f>(O84*'Zadání parametrů'!$D$4)+G84</f>
        <v>249.4099448619694</v>
      </c>
    </row>
    <row r="85" spans="1:18" ht="12.75">
      <c r="A85" s="4" t="s">
        <v>15</v>
      </c>
      <c r="B85" s="24">
        <f t="shared" si="28"/>
        <v>89</v>
      </c>
      <c r="C85" s="61">
        <f t="shared" si="28"/>
        <v>3.6</v>
      </c>
      <c r="D85" s="61">
        <f t="shared" si="22"/>
        <v>50</v>
      </c>
      <c r="E85" s="61">
        <f t="shared" si="32"/>
        <v>0.038</v>
      </c>
      <c r="F85" s="23">
        <v>60</v>
      </c>
      <c r="G85" s="6">
        <v>212</v>
      </c>
      <c r="H85" s="48" t="str">
        <f t="shared" si="27"/>
        <v>----</v>
      </c>
      <c r="I85" s="37">
        <f t="shared" si="29"/>
        <v>7552.116730075949</v>
      </c>
      <c r="J85" s="38">
        <f>PI()/((1/(2*D85)*LN(B85/(B85-2*C85)))+(1/('Zadání parametrů'!D$14*(B85)/1000)))*('Zadání parametrů'!D$16-'Zadání parametrů'!D$9)</f>
        <v>98.63383526708837</v>
      </c>
      <c r="K85" s="39">
        <f>J85/1000*24*'Zadání parametrů'!$D$6</f>
        <v>518.4194381638165</v>
      </c>
      <c r="L85" s="39">
        <f>K85*'Zadání parametrů'!$D$18</f>
        <v>746.5260812289239</v>
      </c>
      <c r="M85" s="38">
        <f>PI()/((1/(2*D85)*LN(B85/(B85-2*C85)))+(1/(2*E85)*LN((B85+2*F85)/B85))+(1/('Zadání parametrů'!D$14*(B85+2*F85)/1000)))*('Zadání parametrů'!D$16-'Zadání parametrů'!D$9)</f>
        <v>9.469436662384487</v>
      </c>
      <c r="N85" s="39">
        <f>M85/1000*24*'Zadání parametrů'!$D$6</f>
        <v>49.77135909749287</v>
      </c>
      <c r="O85" s="39">
        <f>N85*'Zadání parametrů'!$D$18</f>
        <v>71.67095777907159</v>
      </c>
      <c r="P85" s="40">
        <f t="shared" si="30"/>
        <v>674.8551234498523</v>
      </c>
      <c r="Q85" s="8">
        <f t="shared" si="31"/>
        <v>114.66164708720629</v>
      </c>
      <c r="R85" s="45">
        <f>(O85*'Zadání parametrů'!$D$4)+G85</f>
        <v>283.6709577790716</v>
      </c>
    </row>
    <row r="86" spans="1:18" ht="12.75">
      <c r="A86" s="4" t="s">
        <v>15</v>
      </c>
      <c r="B86" s="24">
        <f t="shared" si="28"/>
        <v>89</v>
      </c>
      <c r="C86" s="61">
        <f t="shared" si="28"/>
        <v>3.6</v>
      </c>
      <c r="D86" s="61">
        <f t="shared" si="22"/>
        <v>50</v>
      </c>
      <c r="E86" s="61">
        <f t="shared" si="32"/>
        <v>0.038</v>
      </c>
      <c r="F86" s="23">
        <v>80</v>
      </c>
      <c r="G86" s="6">
        <v>260</v>
      </c>
      <c r="H86" s="48" t="str">
        <f t="shared" si="27"/>
        <v>----</v>
      </c>
      <c r="I86" s="37">
        <f t="shared" si="29"/>
        <v>6124.448799608034</v>
      </c>
      <c r="J86" s="38">
        <f>PI()/((1/(2*D86)*LN(B86/(B86-2*C86)))+(1/('Zadání parametrů'!D$14*(B86)/1000)))*('Zadání parametrů'!D$16-'Zadání parametrů'!D$9)</f>
        <v>98.63383526708837</v>
      </c>
      <c r="K86" s="39">
        <f>J86/1000*24*'Zadání parametrů'!$D$6</f>
        <v>518.4194381638165</v>
      </c>
      <c r="L86" s="39">
        <f>K86*'Zadání parametrů'!$D$18</f>
        <v>746.5260812289239</v>
      </c>
      <c r="M86" s="38">
        <f>PI()/((1/(2*D86)*LN(B86/(B86-2*C86)))+(1/(2*E86)*LN((B86+2*F86)/B86))+(1/('Zadání parametrů'!D$14*(B86+2*F86)/1000)))*('Zadání parametrů'!D$16-'Zadání parametrů'!D$9)</f>
        <v>7.956358867508094</v>
      </c>
      <c r="N86" s="39">
        <f>M86/1000*24*'Zadání parametrů'!$D$6</f>
        <v>41.81862220762254</v>
      </c>
      <c r="O86" s="39">
        <f>N86*'Zadání parametrů'!$D$18</f>
        <v>60.218984592133374</v>
      </c>
      <c r="P86" s="40">
        <f t="shared" si="30"/>
        <v>686.3070966367906</v>
      </c>
      <c r="Q86" s="8">
        <f t="shared" si="31"/>
        <v>138.27629127696935</v>
      </c>
      <c r="R86" s="45">
        <f>(O86*'Zadání parametrů'!$D$4)+G86</f>
        <v>320.2189845921334</v>
      </c>
    </row>
    <row r="87" spans="1:18" ht="12.75">
      <c r="A87" s="4" t="s">
        <v>15</v>
      </c>
      <c r="B87" s="24">
        <f t="shared" si="28"/>
        <v>89</v>
      </c>
      <c r="C87" s="61">
        <f t="shared" si="28"/>
        <v>3.6</v>
      </c>
      <c r="D87" s="61">
        <f t="shared" si="22"/>
        <v>50</v>
      </c>
      <c r="E87" s="61">
        <f t="shared" si="32"/>
        <v>0.038</v>
      </c>
      <c r="F87" s="23">
        <v>100</v>
      </c>
      <c r="G87" s="6">
        <v>344</v>
      </c>
      <c r="H87" s="48" t="str">
        <f t="shared" si="27"/>
        <v>----</v>
      </c>
      <c r="I87" s="37">
        <f t="shared" si="29"/>
        <v>5796.515350655478</v>
      </c>
      <c r="J87" s="38">
        <f>PI()/((1/(2*D87)*LN(B87/(B87-2*C87)))+(1/('Zadání parametrů'!D$14*(B87)/1000)))*('Zadání parametrů'!D$16-'Zadání parametrů'!D$9)</f>
        <v>98.63383526708837</v>
      </c>
      <c r="K87" s="39">
        <f>J87/1000*24*'Zadání parametrů'!$D$6</f>
        <v>518.4194381638165</v>
      </c>
      <c r="L87" s="39">
        <f>K87*'Zadání parametrů'!$D$18</f>
        <v>746.5260812289239</v>
      </c>
      <c r="M87" s="38">
        <f>PI()/((1/(2*D87)*LN(B87/(B87-2*C87)))+(1/(2*E87)*LN((B87+2*F87)/B87))+(1/('Zadání parametrů'!D$14*(B87+2*F87)/1000)))*('Zadání parametrů'!D$16-'Zadání parametrů'!D$9)</f>
        <v>6.999937072033803</v>
      </c>
      <c r="N87" s="39">
        <f>M87/1000*24*'Zadání parametrů'!$D$6</f>
        <v>36.791669250609665</v>
      </c>
      <c r="O87" s="39">
        <f>N87*'Zadání parametrů'!$D$18</f>
        <v>52.98015206530375</v>
      </c>
      <c r="P87" s="40">
        <f t="shared" si="30"/>
        <v>693.5459291636201</v>
      </c>
      <c r="Q87" s="8">
        <f t="shared" si="31"/>
        <v>181.0406416074257</v>
      </c>
      <c r="R87" s="45">
        <f>(O87*'Zadání parametrů'!$D$4)+G87</f>
        <v>396.98015206530374</v>
      </c>
    </row>
    <row r="88" spans="1:18" ht="15.75" customHeight="1">
      <c r="A88" s="42"/>
      <c r="B88" s="22"/>
      <c r="C88" s="25"/>
      <c r="D88" s="30"/>
      <c r="E88" s="30"/>
      <c r="F88" s="22"/>
      <c r="G88" s="25"/>
      <c r="H88" s="22"/>
      <c r="I88" s="31"/>
      <c r="J88" s="31"/>
      <c r="K88" s="33"/>
      <c r="L88" s="33"/>
      <c r="M88" s="33"/>
      <c r="N88" s="33"/>
      <c r="O88" s="49" t="s">
        <v>60</v>
      </c>
      <c r="P88" s="34"/>
      <c r="Q88" s="8"/>
      <c r="R88" s="47">
        <f>MIN(R80:R87)</f>
        <v>224.9570847951114</v>
      </c>
    </row>
    <row r="89" spans="1:18" ht="21.75" customHeight="1">
      <c r="A89" s="41" t="s">
        <v>72</v>
      </c>
      <c r="B89" s="22"/>
      <c r="C89" s="42"/>
      <c r="D89" s="30"/>
      <c r="E89" s="30"/>
      <c r="F89" s="22"/>
      <c r="G89" s="25"/>
      <c r="H89" s="22"/>
      <c r="I89" s="31"/>
      <c r="J89" s="31"/>
      <c r="K89" s="33"/>
      <c r="L89" s="33"/>
      <c r="M89" s="33"/>
      <c r="N89" s="33"/>
      <c r="O89" s="33"/>
      <c r="P89" s="34"/>
      <c r="Q89" s="35"/>
      <c r="R89" s="43"/>
    </row>
    <row r="90" spans="1:18" ht="12.75">
      <c r="A90" s="4" t="s">
        <v>15</v>
      </c>
      <c r="B90" s="23">
        <v>108</v>
      </c>
      <c r="C90" s="6">
        <v>4</v>
      </c>
      <c r="D90" s="61">
        <f t="shared" si="22"/>
        <v>50</v>
      </c>
      <c r="E90" s="6">
        <v>0.044</v>
      </c>
      <c r="F90" s="23">
        <v>25</v>
      </c>
      <c r="G90" s="6">
        <v>125</v>
      </c>
      <c r="H90" s="48" t="str">
        <f aca="true" t="shared" si="33" ref="H90:H96">IF(R90=R$97,"OPTIMÁLNÍ","----")</f>
        <v>----</v>
      </c>
      <c r="I90" s="37">
        <f>G90/((3.14*(B90+2*F90)^2/4-3.14*B90^2/4)/1000000)</f>
        <v>11972.60667592548</v>
      </c>
      <c r="J90" s="38">
        <f>PI()/((1/(2*D90)*LN(B90/(B90-2*C90)))+(1/('Zadání parametrů'!D$14*(B90)/1000)))*('Zadání parametrů'!D$16-'Zadání parametrů'!D$9)</f>
        <v>119.68088363500115</v>
      </c>
      <c r="K90" s="39">
        <f>J90/1000*24*'Zadání parametrů'!$D$6</f>
        <v>629.042724385566</v>
      </c>
      <c r="L90" s="39">
        <f>K90*'Zadání parametrů'!$D$18</f>
        <v>905.8240594225823</v>
      </c>
      <c r="M90" s="38">
        <f>PI()/((1/(2*D90)*LN(B90/(B90-2*C90)))+(1/(2*E90)*LN((B90+2*F90)/B90))+(1/('Zadání parametrů'!D$14*(B90+2*F90)/1000)))*('Zadání parametrů'!D$16-'Zadání parametrů'!D$9)</f>
        <v>22.37336238182194</v>
      </c>
      <c r="N90" s="39">
        <f>M90/1000*24*'Zadání parametrů'!$D$6</f>
        <v>117.59439267885614</v>
      </c>
      <c r="O90" s="39">
        <f>N90*'Zadání parametrů'!$D$18</f>
        <v>169.3363995994719</v>
      </c>
      <c r="P90" s="40">
        <f>L90-O90</f>
        <v>736.4876598231104</v>
      </c>
      <c r="Q90" s="8">
        <f>G90/P90*365</f>
        <v>61.94944258938189</v>
      </c>
      <c r="R90" s="45">
        <f>(O90*'Zadání parametrů'!$D$4)+G90</f>
        <v>294.33639959947186</v>
      </c>
    </row>
    <row r="91" spans="1:18" ht="12.75">
      <c r="A91" s="4" t="s">
        <v>15</v>
      </c>
      <c r="B91" s="24">
        <f aca="true" t="shared" si="34" ref="B91:C96">B$90</f>
        <v>108</v>
      </c>
      <c r="C91" s="61">
        <f t="shared" si="34"/>
        <v>4</v>
      </c>
      <c r="D91" s="61">
        <f t="shared" si="22"/>
        <v>50</v>
      </c>
      <c r="E91" s="61">
        <f aca="true" t="shared" si="35" ref="E91:E96">E90</f>
        <v>0.044</v>
      </c>
      <c r="F91" s="23">
        <v>30</v>
      </c>
      <c r="G91" s="6">
        <v>137</v>
      </c>
      <c r="H91" s="48" t="str">
        <f t="shared" si="33"/>
        <v>OPTIMÁLNÍ</v>
      </c>
      <c r="I91" s="37">
        <f aca="true" t="shared" si="36" ref="I91:I96">G91/((3.14*(B91+2*F91)^2/4-3.14*B91^2/4)/1000000)</f>
        <v>10538.785808794117</v>
      </c>
      <c r="J91" s="38">
        <f>PI()/((1/(2*D91)*LN(B91/(B91-2*C91)))+(1/('Zadání parametrů'!D$14*(B91)/1000)))*('Zadání parametrů'!D$16-'Zadání parametrů'!D$9)</f>
        <v>119.68088363500115</v>
      </c>
      <c r="K91" s="39">
        <f>J91/1000*24*'Zadání parametrů'!$D$6</f>
        <v>629.042724385566</v>
      </c>
      <c r="L91" s="39">
        <f>K91*'Zadání parametrů'!$D$18</f>
        <v>905.8240594225823</v>
      </c>
      <c r="M91" s="38">
        <f>PI()/((1/(2*D91)*LN(B91/(B91-2*C91)))+(1/(2*E91)*LN((B91+2*F91)/B91))+(1/('Zadání parametrů'!D$14*(B91+2*F91)/1000)))*('Zadání parametrů'!D$16-'Zadání parametrů'!D$9)</f>
        <v>19.745595479328777</v>
      </c>
      <c r="N91" s="39">
        <f>M91/1000*24*'Zadání parametrů'!$D$6</f>
        <v>103.78284983935204</v>
      </c>
      <c r="O91" s="39">
        <f>N91*'Zadání parametrů'!$D$18</f>
        <v>149.44772222228931</v>
      </c>
      <c r="P91" s="40">
        <f aca="true" t="shared" si="37" ref="P91:P96">L91-O91</f>
        <v>756.3763372002929</v>
      </c>
      <c r="Q91" s="8">
        <f aca="true" t="shared" si="38" ref="Q91:Q96">G91/P91*365</f>
        <v>66.11126966913348</v>
      </c>
      <c r="R91" s="45">
        <f>(O91*'Zadání parametrů'!$D$4)+G91</f>
        <v>286.4477222222893</v>
      </c>
    </row>
    <row r="92" spans="1:18" ht="12.75">
      <c r="A92" s="4" t="s">
        <v>15</v>
      </c>
      <c r="B92" s="24">
        <f t="shared" si="34"/>
        <v>108</v>
      </c>
      <c r="C92" s="61">
        <f t="shared" si="34"/>
        <v>4</v>
      </c>
      <c r="D92" s="61">
        <f t="shared" si="22"/>
        <v>50</v>
      </c>
      <c r="E92" s="61">
        <f t="shared" si="35"/>
        <v>0.044</v>
      </c>
      <c r="F92" s="23">
        <v>40</v>
      </c>
      <c r="G92" s="6">
        <v>169</v>
      </c>
      <c r="H92" s="48" t="str">
        <f t="shared" si="33"/>
        <v>----</v>
      </c>
      <c r="I92" s="37">
        <f t="shared" si="36"/>
        <v>9091.495954553278</v>
      </c>
      <c r="J92" s="38">
        <f>PI()/((1/(2*D92)*LN(B92/(B92-2*C92)))+(1/('Zadání parametrů'!D$14*(B92)/1000)))*('Zadání parametrů'!D$16-'Zadání parametrů'!D$9)</f>
        <v>119.68088363500115</v>
      </c>
      <c r="K92" s="39">
        <f>J92/1000*24*'Zadání parametrů'!$D$6</f>
        <v>629.042724385566</v>
      </c>
      <c r="L92" s="39">
        <f>K92*'Zadání parametrů'!$D$18</f>
        <v>905.8240594225823</v>
      </c>
      <c r="M92" s="38">
        <f>PI()/((1/(2*D92)*LN(B92/(B92-2*C92)))+(1/(2*E92)*LN((B92+2*F92)/B92))+(1/('Zadání parametrů'!D$14*(B92+2*F92)/1000)))*('Zadání parametrů'!D$16-'Zadání parametrů'!D$9)</f>
        <v>16.234352424015167</v>
      </c>
      <c r="N92" s="39">
        <f>M92/1000*24*'Zadání parametrů'!$D$6</f>
        <v>85.32775634062372</v>
      </c>
      <c r="O92" s="39">
        <f>N92*'Zadání parametrů'!$D$18</f>
        <v>122.87231317297517</v>
      </c>
      <c r="P92" s="40">
        <f t="shared" si="37"/>
        <v>782.9517462496071</v>
      </c>
      <c r="Q92" s="8">
        <f t="shared" si="38"/>
        <v>78.785187331755</v>
      </c>
      <c r="R92" s="45">
        <f>(O92*'Zadání parametrů'!$D$4)+G92</f>
        <v>291.87231317297517</v>
      </c>
    </row>
    <row r="93" spans="1:18" ht="12.75">
      <c r="A93" s="4" t="s">
        <v>15</v>
      </c>
      <c r="B93" s="24">
        <f t="shared" si="34"/>
        <v>108</v>
      </c>
      <c r="C93" s="61">
        <f t="shared" si="34"/>
        <v>4</v>
      </c>
      <c r="D93" s="61">
        <f t="shared" si="22"/>
        <v>50</v>
      </c>
      <c r="E93" s="61">
        <f t="shared" si="35"/>
        <v>0.044</v>
      </c>
      <c r="F93" s="23">
        <v>50</v>
      </c>
      <c r="G93" s="6">
        <v>206</v>
      </c>
      <c r="H93" s="48" t="str">
        <f t="shared" si="33"/>
        <v>----</v>
      </c>
      <c r="I93" s="37">
        <f t="shared" si="36"/>
        <v>8304.442473595098</v>
      </c>
      <c r="J93" s="38">
        <f>PI()/((1/(2*D93)*LN(B93/(B93-2*C93)))+(1/('Zadání parametrů'!D$14*(B93)/1000)))*('Zadání parametrů'!D$16-'Zadání parametrů'!D$9)</f>
        <v>119.68088363500115</v>
      </c>
      <c r="K93" s="39">
        <f>J93/1000*24*'Zadání parametrů'!$D$6</f>
        <v>629.042724385566</v>
      </c>
      <c r="L93" s="39">
        <f>K93*'Zadání parametrů'!$D$18</f>
        <v>905.8240594225823</v>
      </c>
      <c r="M93" s="38">
        <f>PI()/((1/(2*D93)*LN(B93/(B93-2*C93)))+(1/(2*E93)*LN((B93+2*F93)/B93))+(1/('Zadání parametrů'!D$14*(B93+2*F93)/1000)))*('Zadání parametrů'!D$16-'Zadání parametrů'!D$9)</f>
        <v>13.987000800043596</v>
      </c>
      <c r="N93" s="39">
        <f>M93/1000*24*'Zadání parametrů'!$D$6</f>
        <v>73.51567620502914</v>
      </c>
      <c r="O93" s="39">
        <f>N93*'Zadání parametrů'!$D$18</f>
        <v>105.86287015127849</v>
      </c>
      <c r="P93" s="40">
        <f t="shared" si="37"/>
        <v>799.9611892713039</v>
      </c>
      <c r="Q93" s="8">
        <f t="shared" si="38"/>
        <v>93.99205987541927</v>
      </c>
      <c r="R93" s="45">
        <f>(O93*'Zadání parametrů'!$D$4)+G93</f>
        <v>311.86287015127846</v>
      </c>
    </row>
    <row r="94" spans="1:18" ht="12.75">
      <c r="A94" s="4" t="s">
        <v>15</v>
      </c>
      <c r="B94" s="24">
        <f t="shared" si="34"/>
        <v>108</v>
      </c>
      <c r="C94" s="61">
        <f t="shared" si="34"/>
        <v>4</v>
      </c>
      <c r="D94" s="61">
        <f t="shared" si="22"/>
        <v>50</v>
      </c>
      <c r="E94" s="61">
        <f t="shared" si="35"/>
        <v>0.044</v>
      </c>
      <c r="F94" s="23">
        <v>60</v>
      </c>
      <c r="G94" s="6">
        <v>250</v>
      </c>
      <c r="H94" s="48" t="str">
        <f t="shared" si="33"/>
        <v>----</v>
      </c>
      <c r="I94" s="37">
        <f t="shared" si="36"/>
        <v>7898.5946820341715</v>
      </c>
      <c r="J94" s="38">
        <f>PI()/((1/(2*D94)*LN(B94/(B94-2*C94)))+(1/('Zadání parametrů'!D$14*(B94)/1000)))*('Zadání parametrů'!D$16-'Zadání parametrů'!D$9)</f>
        <v>119.68088363500115</v>
      </c>
      <c r="K94" s="39">
        <f>J94/1000*24*'Zadání parametrů'!$D$6</f>
        <v>629.042724385566</v>
      </c>
      <c r="L94" s="39">
        <f>K94*'Zadání parametrů'!$D$18</f>
        <v>905.8240594225823</v>
      </c>
      <c r="M94" s="38">
        <f>PI()/((1/(2*D94)*LN(B94/(B94-2*C94)))+(1/(2*E94)*LN((B94+2*F94)/B94))+(1/('Zadání parametrů'!D$14*(B94+2*F94)/1000)))*('Zadání parametrů'!D$16-'Zadání parametrů'!D$9)</f>
        <v>12.419069489855787</v>
      </c>
      <c r="N94" s="39">
        <f>M94/1000*24*'Zadání parametrů'!$D$6</f>
        <v>65.27462923868201</v>
      </c>
      <c r="O94" s="39">
        <f>N94*'Zadání parametrů'!$D$18</f>
        <v>93.9957292917442</v>
      </c>
      <c r="P94" s="40">
        <f t="shared" si="37"/>
        <v>811.8283301308381</v>
      </c>
      <c r="Q94" s="8">
        <f t="shared" si="38"/>
        <v>112.40061058880973</v>
      </c>
      <c r="R94" s="45">
        <f>(O94*'Zadání parametrů'!$D$4)+G94</f>
        <v>343.99572929174417</v>
      </c>
    </row>
    <row r="95" spans="1:18" ht="12.75">
      <c r="A95" s="4" t="s">
        <v>15</v>
      </c>
      <c r="B95" s="24">
        <f t="shared" si="34"/>
        <v>108</v>
      </c>
      <c r="C95" s="61">
        <f t="shared" si="34"/>
        <v>4</v>
      </c>
      <c r="D95" s="61">
        <f t="shared" si="22"/>
        <v>50</v>
      </c>
      <c r="E95" s="61">
        <f t="shared" si="35"/>
        <v>0.044</v>
      </c>
      <c r="F95" s="23">
        <v>80</v>
      </c>
      <c r="G95" s="6">
        <v>306</v>
      </c>
      <c r="H95" s="48" t="str">
        <f t="shared" si="33"/>
        <v>----</v>
      </c>
      <c r="I95" s="37">
        <f t="shared" si="36"/>
        <v>6479.536522564033</v>
      </c>
      <c r="J95" s="38">
        <f>PI()/((1/(2*D95)*LN(B95/(B95-2*C95)))+(1/('Zadání parametrů'!D$14*(B95)/1000)))*('Zadání parametrů'!D$16-'Zadání parametrů'!D$9)</f>
        <v>119.68088363500115</v>
      </c>
      <c r="K95" s="39">
        <f>J95/1000*24*'Zadání parametrů'!$D$6</f>
        <v>629.042724385566</v>
      </c>
      <c r="L95" s="39">
        <f>K95*'Zadání parametrů'!$D$18</f>
        <v>905.8240594225823</v>
      </c>
      <c r="M95" s="38">
        <f>PI()/((1/(2*D95)*LN(B95/(B95-2*C95)))+(1/(2*E95)*LN((B95+2*F95)/B95))+(1/('Zadání parametrů'!D$14*(B95+2*F95)/1000)))*('Zadání parametrů'!D$16-'Zadání parametrů'!D$9)</f>
        <v>10.363456115771084</v>
      </c>
      <c r="N95" s="39">
        <f>M95/1000*24*'Zadání parametrů'!$D$6</f>
        <v>54.470325344492814</v>
      </c>
      <c r="O95" s="39">
        <f>N95*'Zadání parametrů'!$D$18</f>
        <v>78.43748812103647</v>
      </c>
      <c r="P95" s="40">
        <f t="shared" si="37"/>
        <v>827.3865713015458</v>
      </c>
      <c r="Q95" s="8">
        <f t="shared" si="38"/>
        <v>134.9913134610133</v>
      </c>
      <c r="R95" s="45">
        <f>(O95*'Zadání parametrů'!$D$4)+G95</f>
        <v>384.4374881210365</v>
      </c>
    </row>
    <row r="96" spans="1:18" ht="12.75">
      <c r="A96" s="4" t="s">
        <v>15</v>
      </c>
      <c r="B96" s="24">
        <f t="shared" si="34"/>
        <v>108</v>
      </c>
      <c r="C96" s="61">
        <f t="shared" si="34"/>
        <v>4</v>
      </c>
      <c r="D96" s="61">
        <f t="shared" si="22"/>
        <v>50</v>
      </c>
      <c r="E96" s="61">
        <f t="shared" si="35"/>
        <v>0.044</v>
      </c>
      <c r="F96" s="23">
        <v>100</v>
      </c>
      <c r="G96" s="6">
        <v>387</v>
      </c>
      <c r="H96" s="48" t="str">
        <f t="shared" si="33"/>
        <v>----</v>
      </c>
      <c r="I96" s="37">
        <f t="shared" si="36"/>
        <v>5925.404213620774</v>
      </c>
      <c r="J96" s="38">
        <f>PI()/((1/(2*D96)*LN(B96/(B96-2*C96)))+(1/('Zadání parametrů'!D$14*(B96)/1000)))*('Zadání parametrů'!D$16-'Zadání parametrů'!D$9)</f>
        <v>119.68088363500115</v>
      </c>
      <c r="K96" s="39">
        <f>J96/1000*24*'Zadání parametrů'!$D$6</f>
        <v>629.042724385566</v>
      </c>
      <c r="L96" s="39">
        <f>K96*'Zadání parametrů'!$D$18</f>
        <v>905.8240594225823</v>
      </c>
      <c r="M96" s="38">
        <f>PI()/((1/(2*D96)*LN(B96/(B96-2*C96)))+(1/(2*E96)*LN((B96+2*F96)/B96))+(1/('Zadání parametrů'!D$14*(B96+2*F96)/1000)))*('Zadání parametrů'!D$16-'Zadání parametrů'!D$9)</f>
        <v>9.065401524860418</v>
      </c>
      <c r="N96" s="39">
        <f>M96/1000*24*'Zadání parametrů'!$D$6</f>
        <v>47.647750414666355</v>
      </c>
      <c r="O96" s="39">
        <f>N96*'Zadání parametrů'!$D$18</f>
        <v>68.61295271338722</v>
      </c>
      <c r="P96" s="40">
        <f t="shared" si="37"/>
        <v>837.2111067091951</v>
      </c>
      <c r="Q96" s="8">
        <f t="shared" si="38"/>
        <v>168.72088636667462</v>
      </c>
      <c r="R96" s="45">
        <f>(O96*'Zadání parametrů'!$D$4)+G96</f>
        <v>455.61295271338724</v>
      </c>
    </row>
    <row r="97" spans="1:18" ht="15.75" customHeight="1">
      <c r="A97" s="42"/>
      <c r="B97" s="22"/>
      <c r="C97" s="25"/>
      <c r="D97" s="25"/>
      <c r="E97" s="25"/>
      <c r="F97" s="22"/>
      <c r="G97" s="25"/>
      <c r="H97" s="22"/>
      <c r="I97" s="31"/>
      <c r="J97" s="32"/>
      <c r="K97" s="33"/>
      <c r="L97" s="33"/>
      <c r="M97" s="32"/>
      <c r="N97" s="33"/>
      <c r="O97" s="49" t="s">
        <v>60</v>
      </c>
      <c r="P97" s="34"/>
      <c r="Q97" s="8"/>
      <c r="R97" s="47">
        <f>MIN(R90:R96)</f>
        <v>286.4477222222893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7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87" t="s">
        <v>57</v>
      </c>
      <c r="B1" s="88"/>
      <c r="C1" s="89"/>
      <c r="D1" s="89"/>
      <c r="E1" s="90"/>
      <c r="F1" s="91"/>
    </row>
    <row r="2" ht="20.25">
      <c r="A2" s="1"/>
    </row>
    <row r="3" spans="1:18" ht="15.75" customHeight="1">
      <c r="A3" s="99" t="s">
        <v>82</v>
      </c>
      <c r="B3" s="75" t="s">
        <v>2</v>
      </c>
      <c r="C3" s="75" t="s">
        <v>17</v>
      </c>
      <c r="D3" s="75" t="s">
        <v>11</v>
      </c>
      <c r="E3" s="75" t="s">
        <v>11</v>
      </c>
      <c r="F3" s="75" t="s">
        <v>17</v>
      </c>
      <c r="G3" s="75" t="s">
        <v>5</v>
      </c>
      <c r="H3" s="75"/>
      <c r="I3" s="76" t="s">
        <v>32</v>
      </c>
      <c r="J3" s="75" t="s">
        <v>95</v>
      </c>
      <c r="K3" s="76" t="s">
        <v>96</v>
      </c>
      <c r="L3" s="76" t="s">
        <v>36</v>
      </c>
      <c r="M3" s="75" t="s">
        <v>95</v>
      </c>
      <c r="N3" s="76" t="s">
        <v>96</v>
      </c>
      <c r="O3" s="76" t="s">
        <v>36</v>
      </c>
      <c r="P3" s="76" t="s">
        <v>12</v>
      </c>
      <c r="Q3" s="75" t="s">
        <v>13</v>
      </c>
      <c r="R3" s="75" t="s">
        <v>27</v>
      </c>
    </row>
    <row r="4" spans="1:18" ht="15.75" customHeight="1">
      <c r="A4" s="99" t="s">
        <v>83</v>
      </c>
      <c r="B4" s="75" t="s">
        <v>16</v>
      </c>
      <c r="C4" s="75" t="s">
        <v>26</v>
      </c>
      <c r="D4" s="75" t="s">
        <v>16</v>
      </c>
      <c r="E4" s="75" t="s">
        <v>18</v>
      </c>
      <c r="F4" s="75" t="s">
        <v>18</v>
      </c>
      <c r="G4" s="75" t="s">
        <v>18</v>
      </c>
      <c r="H4" s="75"/>
      <c r="I4" s="76" t="s">
        <v>33</v>
      </c>
      <c r="J4" s="75" t="s">
        <v>19</v>
      </c>
      <c r="K4" s="76" t="s">
        <v>19</v>
      </c>
      <c r="L4" s="76" t="s">
        <v>19</v>
      </c>
      <c r="M4" s="75" t="s">
        <v>20</v>
      </c>
      <c r="N4" s="76" t="s">
        <v>20</v>
      </c>
      <c r="O4" s="76" t="s">
        <v>20</v>
      </c>
      <c r="P4" s="76" t="s">
        <v>24</v>
      </c>
      <c r="Q4" s="75" t="s">
        <v>18</v>
      </c>
      <c r="R4" s="75" t="s">
        <v>37</v>
      </c>
    </row>
    <row r="5" spans="1:18" ht="15.75" customHeight="1">
      <c r="A5" s="99" t="s">
        <v>84</v>
      </c>
      <c r="B5" s="75" t="s">
        <v>3</v>
      </c>
      <c r="C5" s="75" t="s">
        <v>3</v>
      </c>
      <c r="D5" s="75" t="s">
        <v>10</v>
      </c>
      <c r="E5" s="75" t="s">
        <v>10</v>
      </c>
      <c r="F5" s="78" t="s">
        <v>3</v>
      </c>
      <c r="G5" s="75" t="s">
        <v>4</v>
      </c>
      <c r="H5" s="75"/>
      <c r="I5" s="76" t="s">
        <v>0</v>
      </c>
      <c r="J5" s="75" t="s">
        <v>9</v>
      </c>
      <c r="K5" s="76" t="s">
        <v>30</v>
      </c>
      <c r="L5" s="76" t="s">
        <v>31</v>
      </c>
      <c r="M5" s="75" t="s">
        <v>9</v>
      </c>
      <c r="N5" s="76" t="s">
        <v>30</v>
      </c>
      <c r="O5" s="76" t="s">
        <v>31</v>
      </c>
      <c r="P5" s="76" t="s">
        <v>31</v>
      </c>
      <c r="Q5" s="77" t="s">
        <v>14</v>
      </c>
      <c r="R5" s="76" t="s">
        <v>4</v>
      </c>
    </row>
    <row r="6" spans="1:18" ht="21.75" customHeight="1">
      <c r="A6" s="5" t="s">
        <v>23</v>
      </c>
      <c r="B6" s="22"/>
      <c r="C6" s="26"/>
      <c r="D6" s="26"/>
      <c r="E6" s="21"/>
      <c r="F6" s="28"/>
      <c r="G6" s="21"/>
      <c r="H6" s="21"/>
      <c r="I6" s="31"/>
      <c r="J6" s="32"/>
      <c r="K6" s="33"/>
      <c r="L6" s="33"/>
      <c r="M6" s="32"/>
      <c r="N6" s="33"/>
      <c r="O6" s="33"/>
      <c r="P6" s="34"/>
      <c r="Q6" s="35"/>
      <c r="R6" s="36"/>
    </row>
    <row r="7" spans="1:18" ht="15.75" customHeight="1">
      <c r="A7" s="4" t="s">
        <v>6</v>
      </c>
      <c r="B7" s="23">
        <v>15</v>
      </c>
      <c r="C7" s="6">
        <v>1</v>
      </c>
      <c r="D7" s="6">
        <v>372</v>
      </c>
      <c r="E7" s="6">
        <v>0.044</v>
      </c>
      <c r="F7" s="23">
        <v>6</v>
      </c>
      <c r="G7" s="6">
        <v>3.2</v>
      </c>
      <c r="H7" s="48" t="str">
        <f>IF(R7=R$11,"OPTIMÁLNÍ","----")</f>
        <v>----</v>
      </c>
      <c r="I7" s="37">
        <f>G7/((3.14*(B7+2*F7)^2/4-3.14*B7^2/4)/1000000)</f>
        <v>8088.160954402993</v>
      </c>
      <c r="J7" s="38">
        <f>PI()/((1/(2*D7)*LN(B7/(B7-2*C7)))+(1/('Zadání parametrů'!D$14*(B7)/1000)))*('Zadání parametrů'!D$16-'Zadání parametrů'!D$9)</f>
        <v>16.635681141772316</v>
      </c>
      <c r="K7" s="39">
        <f>J7/1000*24*'Zadání parametrů'!$D$6</f>
        <v>87.43714008115529</v>
      </c>
      <c r="L7" s="39">
        <f>K7*'Zadání parametrů'!$D$18</f>
        <v>125.90983426439968</v>
      </c>
      <c r="M7" s="38">
        <f>PI()/((1/(2*D7)*LN(B7/(B7-2*C7)))+(1/(2*E7)*LN((B7+2*F7)/B7))+(1/('Zadání parametrů'!D$14*(B7+2*F7)/1000)))*('Zadání parametrů'!D$16-'Zadání parametrů'!D$9)</f>
        <v>10.681367952339574</v>
      </c>
      <c r="N7" s="39">
        <f>M7/1000*24*'Zadání parametrů'!$D$6</f>
        <v>56.1412699574968</v>
      </c>
      <c r="O7" s="39">
        <f>N7*'Zadání parametrů'!$D$18</f>
        <v>80.84365510102975</v>
      </c>
      <c r="P7" s="40">
        <f>L7-O7</f>
        <v>45.066179163369924</v>
      </c>
      <c r="Q7" s="8">
        <f>G7/P7*365</f>
        <v>25.917440122133936</v>
      </c>
      <c r="R7" s="45">
        <f>(O7*'Zadání parametrů'!$D$4)+G7</f>
        <v>84.04365510102976</v>
      </c>
    </row>
    <row r="8" spans="1:18" ht="15.75" customHeight="1">
      <c r="A8" s="4" t="s">
        <v>6</v>
      </c>
      <c r="B8" s="24">
        <f aca="true" t="shared" si="0" ref="B8:D10">B$7</f>
        <v>15</v>
      </c>
      <c r="C8" s="27">
        <f t="shared" si="0"/>
        <v>1</v>
      </c>
      <c r="D8" s="27">
        <f t="shared" si="0"/>
        <v>372</v>
      </c>
      <c r="E8" s="27">
        <f>E7</f>
        <v>0.044</v>
      </c>
      <c r="F8" s="23">
        <v>9</v>
      </c>
      <c r="G8" s="6">
        <v>5.8</v>
      </c>
      <c r="H8" s="48" t="str">
        <f>IF(R8=R$11,"OPTIMÁLNÍ","----")</f>
        <v>----</v>
      </c>
      <c r="I8" s="37">
        <f>G8/((3.14*(B8+2*F8)^2/4-3.14*B8^2/4)/1000000)</f>
        <v>8551.545175748997</v>
      </c>
      <c r="J8" s="38">
        <f>PI()/((1/(2*D8)*LN(B8/(B8-2*C8)))+(1/('Zadání parametrů'!D$14*(B8)/1000)))*('Zadání parametrů'!D$16-'Zadání parametrů'!D$9)</f>
        <v>16.635681141772316</v>
      </c>
      <c r="K8" s="39">
        <f>J8/1000*24*'Zadání parametrů'!$D$6</f>
        <v>87.43714008115529</v>
      </c>
      <c r="L8" s="39">
        <f>K8*'Zadání parametrů'!$D$18</f>
        <v>125.90983426439968</v>
      </c>
      <c r="M8" s="38">
        <f>PI()/((1/(2*D8)*LN(B8/(B8-2*C8)))+(1/(2*E8)*LN((B8+2*F8)/B8))+(1/('Zadání parametrů'!D$14*(B8+2*F8)/1000)))*('Zadání parametrů'!D$16-'Zadání parametrů'!D$9)</f>
        <v>9.249836384403347</v>
      </c>
      <c r="N8" s="39">
        <f>M8/1000*24*'Zadání parametrů'!$D$6</f>
        <v>48.61714003642399</v>
      </c>
      <c r="O8" s="39">
        <f>N8*'Zadání parametrů'!$D$18</f>
        <v>70.0088776773081</v>
      </c>
      <c r="P8" s="40">
        <f>L8-O8</f>
        <v>55.90095658709157</v>
      </c>
      <c r="Q8" s="8">
        <f>G8/P8*365</f>
        <v>37.87055051020092</v>
      </c>
      <c r="R8" s="45">
        <f>(O8*'Zadání parametrů'!$D$4)+G8</f>
        <v>75.8088776773081</v>
      </c>
    </row>
    <row r="9" spans="1:18" ht="15.75" customHeight="1">
      <c r="A9" s="12" t="s">
        <v>6</v>
      </c>
      <c r="B9" s="24">
        <f t="shared" si="0"/>
        <v>15</v>
      </c>
      <c r="C9" s="27">
        <f t="shared" si="0"/>
        <v>1</v>
      </c>
      <c r="D9" s="27">
        <f t="shared" si="0"/>
        <v>372</v>
      </c>
      <c r="E9" s="27">
        <f>E8</f>
        <v>0.044</v>
      </c>
      <c r="F9" s="29">
        <v>13</v>
      </c>
      <c r="G9" s="50">
        <v>10.5</v>
      </c>
      <c r="H9" s="48" t="str">
        <f>IF(R9=R$11,"OPTIMÁLNÍ","----")</f>
        <v>OPTIMÁLNÍ</v>
      </c>
      <c r="I9" s="37">
        <f>G9/((3.14*(B9+2*F9)^2/4-3.14*B9^2/4)/1000000)</f>
        <v>9186.673199412053</v>
      </c>
      <c r="J9" s="38">
        <f>PI()/((1/(2*D9)*LN(B9/(B9-2*C9)))+(1/('Zadání parametrů'!D$14*(B9)/1000)))*('Zadání parametrů'!D$16-'Zadání parametrů'!D$9)</f>
        <v>16.635681141772316</v>
      </c>
      <c r="K9" s="39">
        <f>J9/1000*24*'Zadání parametrů'!$D$6</f>
        <v>87.43714008115529</v>
      </c>
      <c r="L9" s="39">
        <f>K9*'Zadání parametrů'!$D$18</f>
        <v>125.90983426439968</v>
      </c>
      <c r="M9" s="38">
        <f>PI()/((1/(2*D9)*LN(B9/(B9-2*C9)))+(1/(2*E9)*LN((B9+2*F9)/B9))+(1/('Zadání parametrů'!D$14*(B9+2*F9)/1000)))*('Zadání parametrů'!D$16-'Zadání parametrů'!D$9)</f>
        <v>7.998768760067123</v>
      </c>
      <c r="N9" s="39">
        <f>M9/1000*24*'Zadání parametrů'!$D$6</f>
        <v>42.041528602912805</v>
      </c>
      <c r="O9" s="39">
        <f>N9*'Zadání parametrů'!$D$18</f>
        <v>60.539970700112455</v>
      </c>
      <c r="P9" s="40">
        <f>L9-O9</f>
        <v>65.36986356428721</v>
      </c>
      <c r="Q9" s="8">
        <f>G9/P9*365</f>
        <v>58.62793328658203</v>
      </c>
      <c r="R9" s="45">
        <f>(O9*'Zadání parametrů'!$D$4)+G9</f>
        <v>71.03997070011246</v>
      </c>
    </row>
    <row r="10" spans="1:18" ht="15.75" customHeight="1">
      <c r="A10" s="4" t="s">
        <v>6</v>
      </c>
      <c r="B10" s="24">
        <f t="shared" si="0"/>
        <v>15</v>
      </c>
      <c r="C10" s="27">
        <f t="shared" si="0"/>
        <v>1</v>
      </c>
      <c r="D10" s="27">
        <f t="shared" si="0"/>
        <v>372</v>
      </c>
      <c r="E10" s="27">
        <f>E9</f>
        <v>0.044</v>
      </c>
      <c r="F10" s="23">
        <v>20</v>
      </c>
      <c r="G10" s="6">
        <v>21.8</v>
      </c>
      <c r="H10" s="48" t="str">
        <f>IF(R10=R$11,"OPTIMÁLNÍ","----")</f>
        <v>----</v>
      </c>
      <c r="I10" s="37">
        <f>G10/((3.14*(B10+2*F10)^2/4-3.14*B10^2/4)/1000000)</f>
        <v>9918.107370336671</v>
      </c>
      <c r="J10" s="38">
        <f>PI()/((1/(2*D10)*LN(B10/(B10-2*C10)))+(1/('Zadání parametrů'!D$14*(B10)/1000)))*('Zadání parametrů'!D$16-'Zadání parametrů'!D$9)</f>
        <v>16.635681141772316</v>
      </c>
      <c r="K10" s="39">
        <f>J10/1000*24*'Zadání parametrů'!$D$6</f>
        <v>87.43714008115529</v>
      </c>
      <c r="L10" s="39">
        <f>K10*'Zadání parametrů'!$D$18</f>
        <v>125.90983426439968</v>
      </c>
      <c r="M10" s="38">
        <f>PI()/((1/(2*D10)*LN(B10/(B10-2*C10)))+(1/(2*E10)*LN((B10+2*F10)/B10))+(1/('Zadání parametrů'!D$14*(B10+2*F10)/1000)))*('Zadání parametrů'!D$16-'Zadání parametrů'!D$9)</f>
        <v>6.688057136184013</v>
      </c>
      <c r="N10" s="39">
        <f>M10/1000*24*'Zadání parametrů'!$D$6</f>
        <v>35.15242830778317</v>
      </c>
      <c r="O10" s="39">
        <f>N10*'Zadání parametrů'!$D$18</f>
        <v>50.619638498195606</v>
      </c>
      <c r="P10" s="40">
        <f>L10-O10</f>
        <v>75.29019576620408</v>
      </c>
      <c r="Q10" s="8">
        <f>G10/P10*365</f>
        <v>105.68441108465947</v>
      </c>
      <c r="R10" s="45">
        <f>(O10*'Zadání parametrů'!$D$4)+G10</f>
        <v>72.41963849819561</v>
      </c>
    </row>
    <row r="11" spans="1:18" ht="15.75" customHeight="1">
      <c r="A11" s="42"/>
      <c r="B11" s="22"/>
      <c r="C11" s="25"/>
      <c r="D11" s="25"/>
      <c r="E11" s="25"/>
      <c r="F11" s="22"/>
      <c r="G11" s="25"/>
      <c r="H11" s="25"/>
      <c r="I11" s="31"/>
      <c r="J11" s="31"/>
      <c r="K11" s="33"/>
      <c r="L11" s="33"/>
      <c r="M11" s="33"/>
      <c r="N11" s="33"/>
      <c r="O11" s="49" t="s">
        <v>60</v>
      </c>
      <c r="P11" s="34"/>
      <c r="Q11" s="8"/>
      <c r="R11" s="47">
        <f>MIN(R7:R10)</f>
        <v>71.03997070011246</v>
      </c>
    </row>
    <row r="12" spans="1:18" ht="21.75" customHeight="1">
      <c r="A12" s="41" t="s">
        <v>38</v>
      </c>
      <c r="B12" s="22"/>
      <c r="C12" s="42"/>
      <c r="D12" s="42"/>
      <c r="E12" s="25"/>
      <c r="F12" s="22"/>
      <c r="G12" s="25"/>
      <c r="H12" s="25"/>
      <c r="I12" s="31"/>
      <c r="J12" s="31"/>
      <c r="K12" s="33"/>
      <c r="L12" s="33"/>
      <c r="M12" s="33"/>
      <c r="N12" s="33"/>
      <c r="O12" s="33"/>
      <c r="P12" s="34"/>
      <c r="Q12" s="35"/>
      <c r="R12" s="44"/>
    </row>
    <row r="13" spans="1:18" ht="12.75">
      <c r="A13" s="4" t="s">
        <v>6</v>
      </c>
      <c r="B13" s="23">
        <v>18</v>
      </c>
      <c r="C13" s="6">
        <v>1</v>
      </c>
      <c r="D13" s="27">
        <f>D$7</f>
        <v>372</v>
      </c>
      <c r="E13" s="6">
        <v>0.044</v>
      </c>
      <c r="F13" s="23">
        <v>6</v>
      </c>
      <c r="G13" s="6">
        <v>3.8</v>
      </c>
      <c r="H13" s="48" t="str">
        <f>IF(R13=R$18,"OPTIMÁLNÍ","----")</f>
        <v>----</v>
      </c>
      <c r="I13" s="37">
        <f>G13/((3.14*(B13+2*F13)^2/4-3.14*B13^2/4)/1000000)</f>
        <v>8404.10474168436</v>
      </c>
      <c r="J13" s="38">
        <f>PI()/((1/(2*D13)*LN(B13/(B13-2*C13)))+(1/('Zadání parametrů'!D$14*(B13)/1000)))*('Zadání parametrů'!D$16-'Zadání parametrů'!D$9)</f>
        <v>19.9628244583383</v>
      </c>
      <c r="K13" s="39">
        <f>J13/1000*24*'Zadání parametrů'!$D$6</f>
        <v>104.9246053530261</v>
      </c>
      <c r="L13" s="39">
        <f>K13*'Zadání parametrů'!$D$18</f>
        <v>151.09185476555106</v>
      </c>
      <c r="M13" s="38">
        <f>PI()/((1/(2*D13)*LN(B13/(B13-2*C13)))+(1/(2*E13)*LN((B13+2*F13)/B13))+(1/('Zadání parametrů'!D$14*(B13+2*F13)/1000)))*('Zadání parametrů'!D$16-'Zadání parametrů'!D$9)</f>
        <v>12.136545906507404</v>
      </c>
      <c r="N13" s="39">
        <f>M13/1000*24*'Zadání parametrů'!$D$6</f>
        <v>63.78968528460292</v>
      </c>
      <c r="O13" s="39">
        <f>N13*'Zadání parametrů'!$D$18</f>
        <v>91.85740401055952</v>
      </c>
      <c r="P13" s="40">
        <f>L13-O13</f>
        <v>59.23445075499154</v>
      </c>
      <c r="Q13" s="8">
        <f>G13/P13*365</f>
        <v>23.41542771683623</v>
      </c>
      <c r="R13" s="45">
        <f>(O13*'Zadání parametrů'!$D$4)+G13</f>
        <v>95.65740401055952</v>
      </c>
    </row>
    <row r="14" spans="1:18" ht="12.75">
      <c r="A14" s="4" t="s">
        <v>6</v>
      </c>
      <c r="B14" s="24">
        <f>B$13</f>
        <v>18</v>
      </c>
      <c r="C14" s="61">
        <f>C$13</f>
        <v>1</v>
      </c>
      <c r="D14" s="27">
        <f>D$7</f>
        <v>372</v>
      </c>
      <c r="E14" s="27">
        <f>E13</f>
        <v>0.044</v>
      </c>
      <c r="F14" s="23">
        <v>9</v>
      </c>
      <c r="G14" s="6">
        <v>6.7</v>
      </c>
      <c r="H14" s="48" t="str">
        <f>IF(R14=R$18,"OPTIMÁLNÍ","----")</f>
        <v>----</v>
      </c>
      <c r="I14" s="37">
        <f>G14/((3.14*(B14+2*F14)^2/4-3.14*B14^2/4)/1000000)</f>
        <v>8780.896962071767</v>
      </c>
      <c r="J14" s="38">
        <f>PI()/((1/(2*D14)*LN(B14/(B14-2*C14)))+(1/('Zadání parametrů'!D$14*(B14)/1000)))*('Zadání parametrů'!D$16-'Zadání parametrů'!D$9)</f>
        <v>19.9628244583383</v>
      </c>
      <c r="K14" s="39">
        <f>J14/1000*24*'Zadání parametrů'!$D$6</f>
        <v>104.9246053530261</v>
      </c>
      <c r="L14" s="39">
        <f>K14*'Zadání parametrů'!$D$18</f>
        <v>151.09185476555106</v>
      </c>
      <c r="M14" s="38">
        <f>PI()/((1/(2*D14)*LN(B14/(B14-2*C14)))+(1/(2*E14)*LN((B14+2*F14)/B14))+(1/('Zadání parametrů'!D$14*(B14+2*F14)/1000)))*('Zadání parametrů'!D$16-'Zadání parametrů'!D$9)</f>
        <v>10.409367895965019</v>
      </c>
      <c r="N14" s="39">
        <f>M14/1000*24*'Zadání parametrů'!$D$6</f>
        <v>54.711637661192135</v>
      </c>
      <c r="O14" s="39">
        <f>N14*'Zadání parametrů'!$D$18</f>
        <v>78.78497883005747</v>
      </c>
      <c r="P14" s="40">
        <f>L14-O14</f>
        <v>72.3068759354936</v>
      </c>
      <c r="Q14" s="8">
        <f>G14/P14*365</f>
        <v>33.821126529953794</v>
      </c>
      <c r="R14" s="45">
        <f>(O14*'Zadání parametrů'!$D$4)+G14</f>
        <v>85.48497883005747</v>
      </c>
    </row>
    <row r="15" spans="1:18" ht="12.75">
      <c r="A15" s="12" t="s">
        <v>6</v>
      </c>
      <c r="B15" s="24">
        <f aca="true" t="shared" si="1" ref="B15:C17">B$13</f>
        <v>18</v>
      </c>
      <c r="C15" s="61">
        <f t="shared" si="1"/>
        <v>1</v>
      </c>
      <c r="D15" s="27">
        <f>D$7</f>
        <v>372</v>
      </c>
      <c r="E15" s="27">
        <f>E14</f>
        <v>0.044</v>
      </c>
      <c r="F15" s="29">
        <v>13</v>
      </c>
      <c r="G15" s="50">
        <v>12.5</v>
      </c>
      <c r="H15" s="48" t="str">
        <f>IF(R15=R$18,"OPTIMÁLNÍ","----")</f>
        <v>----</v>
      </c>
      <c r="I15" s="37">
        <f>G15/((3.14*(B15+2*F15)^2/4-3.14*B15^2/4)/1000000)</f>
        <v>9878.14322517425</v>
      </c>
      <c r="J15" s="38">
        <f>PI()/((1/(2*D15)*LN(B15/(B15-2*C15)))+(1/('Zadání parametrů'!D$14*(B15)/1000)))*('Zadání parametrů'!D$16-'Zadání parametrů'!D$9)</f>
        <v>19.9628244583383</v>
      </c>
      <c r="K15" s="39">
        <f>J15/1000*24*'Zadání parametrů'!$D$6</f>
        <v>104.9246053530261</v>
      </c>
      <c r="L15" s="39">
        <f>K15*'Zadání parametrů'!$D$18</f>
        <v>151.09185476555106</v>
      </c>
      <c r="M15" s="38">
        <f>PI()/((1/(2*D15)*LN(B15/(B15-2*C15)))+(1/(2*E15)*LN((B15+2*F15)/B15))+(1/('Zadání parametrů'!D$14*(B15+2*F15)/1000)))*('Zadání parametrů'!D$16-'Zadání parametrů'!D$9)</f>
        <v>8.922652561006778</v>
      </c>
      <c r="N15" s="39">
        <f>M15/1000*24*'Zadání parametrů'!$D$6</f>
        <v>46.89746186065163</v>
      </c>
      <c r="O15" s="39">
        <f>N15*'Zadání parametrů'!$D$18</f>
        <v>67.53253417043409</v>
      </c>
      <c r="P15" s="40">
        <f>L15-O15</f>
        <v>83.55932059511697</v>
      </c>
      <c r="Q15" s="8">
        <f>G15/P15*365</f>
        <v>54.60192791786081</v>
      </c>
      <c r="R15" s="45">
        <f>(O15*'Zadání parametrů'!$D$4)+G15</f>
        <v>80.03253417043409</v>
      </c>
    </row>
    <row r="16" spans="1:18" ht="12.75">
      <c r="A16" s="12" t="s">
        <v>6</v>
      </c>
      <c r="B16" s="24">
        <f t="shared" si="1"/>
        <v>18</v>
      </c>
      <c r="C16" s="61">
        <f t="shared" si="1"/>
        <v>1</v>
      </c>
      <c r="D16" s="27">
        <f>D$7</f>
        <v>372</v>
      </c>
      <c r="E16" s="27">
        <f>E15</f>
        <v>0.044</v>
      </c>
      <c r="F16" s="29">
        <v>20</v>
      </c>
      <c r="G16" s="50">
        <v>23.2</v>
      </c>
      <c r="H16" s="48" t="str">
        <f>IF(R16=R$18,"OPTIMÁLNÍ","----")</f>
        <v>OPTIMÁLNÍ</v>
      </c>
      <c r="I16" s="37">
        <f>G16/((3.14*(B16+2*F16)^2/4-3.14*B16^2/4)/1000000)</f>
        <v>9721.756620851493</v>
      </c>
      <c r="J16" s="38">
        <f>PI()/((1/(2*D16)*LN(B16/(B16-2*C16)))+(1/('Zadání parametrů'!D$14*(B16)/1000)))*('Zadání parametrů'!D$16-'Zadání parametrů'!D$9)</f>
        <v>19.9628244583383</v>
      </c>
      <c r="K16" s="39">
        <f>J16/1000*24*'Zadání parametrů'!$D$6</f>
        <v>104.9246053530261</v>
      </c>
      <c r="L16" s="39">
        <f>K16*'Zadání parametrů'!$D$18</f>
        <v>151.09185476555106</v>
      </c>
      <c r="M16" s="38">
        <f>PI()/((1/(2*D16)*LN(B16/(B16-2*C16)))+(1/(2*E16)*LN((B16+2*F16)/B16))+(1/('Zadání parametrů'!D$14*(B16+2*F16)/1000)))*('Zadání parametrů'!D$16-'Zadání parametrů'!D$9)</f>
        <v>7.383728511661191</v>
      </c>
      <c r="N16" s="39">
        <f>M16/1000*24*'Zadání parametrů'!$D$6</f>
        <v>38.80887705729122</v>
      </c>
      <c r="O16" s="39">
        <f>N16*'Zadání parametrů'!$D$18</f>
        <v>55.884939440329845</v>
      </c>
      <c r="P16" s="40">
        <f>L16-O16</f>
        <v>95.20691532522122</v>
      </c>
      <c r="Q16" s="8">
        <f>G16/P16*365</f>
        <v>88.9431190063643</v>
      </c>
      <c r="R16" s="45">
        <f>(O16*'Zadání parametrů'!$D$4)+G16</f>
        <v>79.08493944032985</v>
      </c>
    </row>
    <row r="17" spans="1:18" ht="12.75">
      <c r="A17" s="12" t="s">
        <v>6</v>
      </c>
      <c r="B17" s="24">
        <f t="shared" si="1"/>
        <v>18</v>
      </c>
      <c r="C17" s="61">
        <f t="shared" si="1"/>
        <v>1</v>
      </c>
      <c r="D17" s="27">
        <f>D$7</f>
        <v>372</v>
      </c>
      <c r="E17" s="27">
        <f>E16</f>
        <v>0.044</v>
      </c>
      <c r="F17" s="23">
        <v>25</v>
      </c>
      <c r="G17" s="6">
        <v>39</v>
      </c>
      <c r="H17" s="48" t="str">
        <f>IF(R17=R$18,"OPTIMÁLNÍ","----")</f>
        <v>----</v>
      </c>
      <c r="I17" s="37">
        <f>G17/((3.14*(B17+2*F17)^2/4-3.14*B17^2/4)/1000000)</f>
        <v>11553.843874981485</v>
      </c>
      <c r="J17" s="38">
        <f>PI()/((1/(2*D17)*LN(B17/(B17-2*C17)))+(1/('Zadání parametrů'!D$14*(B17)/1000)))*('Zadání parametrů'!D$16-'Zadání parametrů'!D$9)</f>
        <v>19.9628244583383</v>
      </c>
      <c r="K17" s="39">
        <f>J17/1000*24*'Zadání parametrů'!$D$6</f>
        <v>104.9246053530261</v>
      </c>
      <c r="L17" s="39">
        <f>K17*'Zadání parametrů'!$D$18</f>
        <v>151.09185476555106</v>
      </c>
      <c r="M17" s="38">
        <f>PI()/((1/(2*D17)*LN(B17/(B17-2*C17)))+(1/(2*E17)*LN((B17+2*F17)/B17))+(1/('Zadání parametrů'!D$14*(B17+2*F17)/1000)))*('Zadání parametrů'!D$16-'Zadání parametrů'!D$9)</f>
        <v>6.691442368514551</v>
      </c>
      <c r="N17" s="39">
        <f>M17/1000*24*'Zadání parametrů'!$D$6</f>
        <v>35.17022108891248</v>
      </c>
      <c r="O17" s="39">
        <f>N17*'Zadání parametrů'!$D$18</f>
        <v>50.645260174762505</v>
      </c>
      <c r="P17" s="40">
        <f>L17-O17</f>
        <v>100.44659459078855</v>
      </c>
      <c r="Q17" s="8">
        <f>G17/P17*365</f>
        <v>141.71709910119162</v>
      </c>
      <c r="R17" s="45">
        <f>(O17*'Zadání parametrů'!$D$4)+G17</f>
        <v>89.64526017476251</v>
      </c>
    </row>
    <row r="18" spans="1:18" ht="15.75" customHeight="1">
      <c r="A18" s="42"/>
      <c r="B18" s="22"/>
      <c r="C18" s="25"/>
      <c r="D18" s="25"/>
      <c r="E18" s="25"/>
      <c r="F18" s="22"/>
      <c r="G18" s="25"/>
      <c r="H18" s="22"/>
      <c r="I18" s="31"/>
      <c r="J18" s="31"/>
      <c r="K18" s="33"/>
      <c r="L18" s="33"/>
      <c r="M18" s="33"/>
      <c r="N18" s="33"/>
      <c r="O18" s="49" t="s">
        <v>60</v>
      </c>
      <c r="P18" s="34"/>
      <c r="Q18" s="8"/>
      <c r="R18" s="47">
        <f>MIN(R13:R17)</f>
        <v>79.08493944032985</v>
      </c>
    </row>
    <row r="19" spans="1:18" ht="21.75" customHeight="1">
      <c r="A19" s="41" t="s">
        <v>39</v>
      </c>
      <c r="B19" s="22"/>
      <c r="C19" s="42"/>
      <c r="D19" s="42"/>
      <c r="E19" s="25"/>
      <c r="F19" s="22"/>
      <c r="G19" s="25"/>
      <c r="H19" s="22"/>
      <c r="I19" s="31"/>
      <c r="J19" s="31"/>
      <c r="K19" s="33"/>
      <c r="L19" s="33"/>
      <c r="M19" s="33"/>
      <c r="N19" s="33"/>
      <c r="O19" s="33"/>
      <c r="P19" s="34"/>
      <c r="Q19" s="35"/>
      <c r="R19" s="43"/>
    </row>
    <row r="20" spans="1:19" s="18" customFormat="1" ht="12.75">
      <c r="A20" s="4" t="s">
        <v>6</v>
      </c>
      <c r="B20" s="23">
        <v>22</v>
      </c>
      <c r="C20" s="6">
        <v>1</v>
      </c>
      <c r="D20" s="27">
        <f aca="true" t="shared" si="2" ref="D20:D28">D$7</f>
        <v>372</v>
      </c>
      <c r="E20" s="50">
        <v>0.044</v>
      </c>
      <c r="F20" s="23">
        <v>6</v>
      </c>
      <c r="G20" s="6">
        <v>4.2</v>
      </c>
      <c r="H20" s="48" t="str">
        <f>IF(R20=R$29,"OPTIMÁLNÍ","----")</f>
        <v>----</v>
      </c>
      <c r="I20" s="37">
        <f>G20/((3.14*(B20+2*F20)^2/4-3.14*B20^2/4)/1000000)</f>
        <v>7961.783439490447</v>
      </c>
      <c r="J20" s="38">
        <f>PI()/((1/(2*D20)*LN(B20/(B20-2*C20)))+(1/('Zadání parametrů'!D$14*(B20)/1000)))*('Zadání parametrů'!D$16-'Zadání parametrů'!D$9)</f>
        <v>24.399015302561075</v>
      </c>
      <c r="K20" s="39">
        <f>J20/1000*24*'Zadání parametrů'!$D$6</f>
        <v>128.241224430261</v>
      </c>
      <c r="L20" s="39">
        <f>K20*'Zadání parametrů'!$D$18</f>
        <v>184.66788024964075</v>
      </c>
      <c r="M20" s="38">
        <f>PI()/((1/(2*D20)*LN(B20/(B20-2*C20)))+(1/(2*E20)*LN((B20+2*F20)/B20))+(1/('Zadání parametrů'!D$14*(B20+2*F20)/1000)))*('Zadání parametrů'!D$16-'Zadání parametrů'!D$9)</f>
        <v>14.060132204139984</v>
      </c>
      <c r="N20" s="39">
        <f>M20/1000*24*'Zadání parametrů'!$D$6</f>
        <v>73.90005486495976</v>
      </c>
      <c r="O20" s="39">
        <f>N20*'Zadání parametrů'!$D$18</f>
        <v>106.41637697139767</v>
      </c>
      <c r="P20" s="40">
        <f>L20-O20</f>
        <v>78.25150327824308</v>
      </c>
      <c r="Q20" s="8">
        <f>G20/P20*365</f>
        <v>19.590677952205336</v>
      </c>
      <c r="R20" s="45">
        <f>(O20*'Zadání parametrů'!$D$4)+G20</f>
        <v>110.61637697139767</v>
      </c>
      <c r="S20" s="46"/>
    </row>
    <row r="21" spans="1:18" ht="12.75">
      <c r="A21" s="4" t="s">
        <v>6</v>
      </c>
      <c r="B21" s="24">
        <f>B$20</f>
        <v>22</v>
      </c>
      <c r="C21" s="61">
        <f>C$20</f>
        <v>1</v>
      </c>
      <c r="D21" s="27">
        <f t="shared" si="2"/>
        <v>372</v>
      </c>
      <c r="E21" s="27">
        <f>E20</f>
        <v>0.044</v>
      </c>
      <c r="F21" s="23">
        <v>9</v>
      </c>
      <c r="G21" s="6">
        <v>7.2</v>
      </c>
      <c r="H21" s="48" t="str">
        <f>IF(R21=R$29,"OPTIMÁLNÍ","----")</f>
        <v>----</v>
      </c>
      <c r="I21" s="37">
        <f>G21/((3.14*(B21+2*F21)^2/4-3.14*B21^2/4)/1000000)</f>
        <v>8218.615163344977</v>
      </c>
      <c r="J21" s="38">
        <f>PI()/((1/(2*D21)*LN(B21/(B21-2*C21)))+(1/('Zadání parametrů'!D$14*(B21)/1000)))*('Zadání parametrů'!D$16-'Zadání parametrů'!D$9)</f>
        <v>24.399015302561075</v>
      </c>
      <c r="K21" s="39">
        <f>J21/1000*24*'Zadání parametrů'!$D$6</f>
        <v>128.241224430261</v>
      </c>
      <c r="L21" s="39">
        <f>K21*'Zadání parametrů'!$D$18</f>
        <v>184.66788024964075</v>
      </c>
      <c r="M21" s="38">
        <f>PI()/((1/(2*D21)*LN(B21/(B21-2*C21)))+(1/(2*E21)*LN((B21+2*F21)/B21))+(1/('Zadání parametrů'!D$14*(B21+2*F21)/1000)))*('Zadání parametrů'!D$16-'Zadání parametrů'!D$9)</f>
        <v>11.933608576791027</v>
      </c>
      <c r="N21" s="39">
        <f>M21/1000*24*'Zadání parametrů'!$D$6</f>
        <v>62.72304667961363</v>
      </c>
      <c r="O21" s="39">
        <f>N21*'Zadání parametrů'!$D$18</f>
        <v>90.32144011867605</v>
      </c>
      <c r="P21" s="40">
        <f>L21-O21</f>
        <v>94.3464401309647</v>
      </c>
      <c r="Q21" s="8">
        <f>G21/P21*365</f>
        <v>27.85478706299895</v>
      </c>
      <c r="R21" s="45">
        <f>(O21*'Zadání parametrů'!$D$4)+G21</f>
        <v>97.52144011867605</v>
      </c>
    </row>
    <row r="22" spans="1:18" ht="12.75">
      <c r="A22" s="4" t="s">
        <v>6</v>
      </c>
      <c r="B22" s="24">
        <f aca="true" t="shared" si="3" ref="B22:C28">B$20</f>
        <v>22</v>
      </c>
      <c r="C22" s="61">
        <f t="shared" si="3"/>
        <v>1</v>
      </c>
      <c r="D22" s="27">
        <f t="shared" si="2"/>
        <v>372</v>
      </c>
      <c r="E22" s="27">
        <f aca="true" t="shared" si="4" ref="E22:E28">E21</f>
        <v>0.044</v>
      </c>
      <c r="F22" s="29">
        <v>13</v>
      </c>
      <c r="G22" s="6">
        <v>13.2</v>
      </c>
      <c r="H22" s="48" t="str">
        <f>IF(R22=R$29,"OPTIMÁLNÍ","----")</f>
        <v>----</v>
      </c>
      <c r="I22" s="37">
        <f>G22/((3.14*(B22+2*F22)^2/4-3.14*B22^2/4)/1000000)</f>
        <v>9239.168474837265</v>
      </c>
      <c r="J22" s="38">
        <f>PI()/((1/(2*D22)*LN(B22/(B22-2*C22)))+(1/('Zadání parametrů'!D$14*(B22)/1000)))*('Zadání parametrů'!D$16-'Zadání parametrů'!D$9)</f>
        <v>24.399015302561075</v>
      </c>
      <c r="K22" s="39">
        <f>J22/1000*24*'Zadání parametrů'!$D$6</f>
        <v>128.241224430261</v>
      </c>
      <c r="L22" s="39">
        <f>K22*'Zadání parametrů'!$D$18</f>
        <v>184.66788024964075</v>
      </c>
      <c r="M22" s="38">
        <f>PI()/((1/(2*D22)*LN(B22/(B22-2*C22)))+(1/(2*E22)*LN((B22+2*F22)/B22))+(1/('Zadání parametrů'!D$14*(B22+2*F22)/1000)))*('Zadání parametrů'!D$16-'Zadání parametrů'!D$9)</f>
        <v>10.129578750231925</v>
      </c>
      <c r="N22" s="39">
        <f>M22/1000*24*'Zadání parametrů'!$D$6</f>
        <v>53.241065911219</v>
      </c>
      <c r="O22" s="39">
        <f>N22*'Zadání parametrů'!$D$18</f>
        <v>76.66734958073427</v>
      </c>
      <c r="P22" s="40">
        <f>L22-O22</f>
        <v>108.00053066890648</v>
      </c>
      <c r="Q22" s="8">
        <f>G22/P22*365</f>
        <v>44.610891910988634</v>
      </c>
      <c r="R22" s="45">
        <f>(O22*'Zadání parametrů'!$D$4)+G22</f>
        <v>89.86734958073427</v>
      </c>
    </row>
    <row r="23" spans="1:18" ht="12.75">
      <c r="A23" s="4" t="s">
        <v>6</v>
      </c>
      <c r="B23" s="24">
        <f t="shared" si="3"/>
        <v>22</v>
      </c>
      <c r="C23" s="61">
        <f t="shared" si="3"/>
        <v>1</v>
      </c>
      <c r="D23" s="27">
        <f t="shared" si="2"/>
        <v>372</v>
      </c>
      <c r="E23" s="27">
        <f t="shared" si="4"/>
        <v>0.044</v>
      </c>
      <c r="F23" s="23">
        <v>20</v>
      </c>
      <c r="G23" s="50">
        <v>25.6</v>
      </c>
      <c r="H23" s="48" t="str">
        <f>IF(R23=R$29,"OPTIMÁLNÍ","----")</f>
        <v>OPTIMÁLNÍ</v>
      </c>
      <c r="I23" s="37">
        <f>G23/((3.14*(B23+2*F23)^2/4-3.14*B23^2/4)/1000000)</f>
        <v>9705.793145283593</v>
      </c>
      <c r="J23" s="38">
        <f>PI()/((1/(2*D23)*LN(B23/(B23-2*C23)))+(1/('Zadání parametrů'!D$14*(B23)/1000)))*('Zadání parametrů'!D$16-'Zadání parametrů'!D$9)</f>
        <v>24.399015302561075</v>
      </c>
      <c r="K23" s="39">
        <f>J23/1000*24*'Zadání parametrů'!$D$6</f>
        <v>128.241224430261</v>
      </c>
      <c r="L23" s="39">
        <f>K23*'Zadání parametrů'!$D$18</f>
        <v>184.66788024964075</v>
      </c>
      <c r="M23" s="38">
        <f>PI()/((1/(2*D23)*LN(B23/(B23-2*C23)))+(1/(2*E23)*LN((B23+2*F23)/B23))+(1/('Zadání parametrů'!D$14*(B23+2*F23)/1000)))*('Zadání parametrů'!D$16-'Zadání parametrů'!D$9)</f>
        <v>8.284856235964716</v>
      </c>
      <c r="N23" s="39">
        <f>M23/1000*24*'Zadání parametrů'!$D$6</f>
        <v>43.545204376230544</v>
      </c>
      <c r="O23" s="39">
        <f>N23*'Zadání parametrů'!$D$18</f>
        <v>62.705269876527694</v>
      </c>
      <c r="P23" s="40">
        <f>L23-O23</f>
        <v>121.96261037311305</v>
      </c>
      <c r="Q23" s="8">
        <f>G23/P23*365</f>
        <v>76.61364389803113</v>
      </c>
      <c r="R23" s="45">
        <f>(O23*'Zadání parametrů'!$D$4)+G23</f>
        <v>88.30526987652769</v>
      </c>
    </row>
    <row r="24" spans="1:18" ht="12.75">
      <c r="A24" s="4" t="s">
        <v>6</v>
      </c>
      <c r="B24" s="24">
        <f t="shared" si="3"/>
        <v>22</v>
      </c>
      <c r="C24" s="61">
        <f t="shared" si="3"/>
        <v>1</v>
      </c>
      <c r="D24" s="27">
        <f t="shared" si="2"/>
        <v>372</v>
      </c>
      <c r="E24" s="27">
        <f t="shared" si="4"/>
        <v>0.044</v>
      </c>
      <c r="F24" s="23">
        <v>25</v>
      </c>
      <c r="G24" s="6">
        <v>44</v>
      </c>
      <c r="H24" s="48" t="str">
        <f>IF(R24=R$29,"OPTIMÁLNÍ","----")</f>
        <v>----</v>
      </c>
      <c r="I24" s="37">
        <f>G24/((3.14*(B24+2*F24)^2/4-3.14*B24^2/4)/1000000)</f>
        <v>11925.735194470795</v>
      </c>
      <c r="J24" s="38">
        <f>PI()/((1/(2*D24)*LN(B24/(B24-2*C24)))+(1/('Zadání parametrů'!D$14*(B24)/1000)))*('Zadání parametrů'!D$16-'Zadání parametrů'!D$9)</f>
        <v>24.399015302561075</v>
      </c>
      <c r="K24" s="39">
        <f>J24/1000*24*'Zadání parametrů'!$D$6</f>
        <v>128.241224430261</v>
      </c>
      <c r="L24" s="39">
        <f>K24*'Zadání parametrů'!$D$18</f>
        <v>184.66788024964075</v>
      </c>
      <c r="M24" s="38">
        <f>PI()/((1/(2*D24)*LN(B24/(B24-2*C24)))+(1/(2*E24)*LN((B24+2*F24)/B24))+(1/('Zadání parametrů'!D$14*(B24+2*F24)/1000)))*('Zadání parametrů'!D$16-'Zadání parametrů'!D$9)</f>
        <v>7.462497791992659</v>
      </c>
      <c r="N24" s="39">
        <f>M24/1000*24*'Zadání parametrů'!$D$6</f>
        <v>39.22288839471342</v>
      </c>
      <c r="O24" s="39">
        <f>N24*'Zadání parametrů'!$D$18</f>
        <v>56.481117435516204</v>
      </c>
      <c r="P24" s="40">
        <f>L24-O24</f>
        <v>128.18676281412453</v>
      </c>
      <c r="Q24" s="8">
        <f>G24/P24*365</f>
        <v>125.28594721818183</v>
      </c>
      <c r="R24" s="45">
        <f>(O24*'Zadání parametrů'!$D$4)+G24</f>
        <v>100.48111743551621</v>
      </c>
    </row>
    <row r="25" spans="1:18" ht="12.75">
      <c r="A25" s="4"/>
      <c r="B25" s="24"/>
      <c r="C25" s="61"/>
      <c r="D25" s="27"/>
      <c r="E25" s="27"/>
      <c r="F25" s="23"/>
      <c r="G25" s="6"/>
      <c r="H25" s="48"/>
      <c r="I25" s="37"/>
      <c r="J25" s="38"/>
      <c r="K25" s="39"/>
      <c r="L25" s="39"/>
      <c r="M25" s="38"/>
      <c r="N25" s="39"/>
      <c r="O25" s="39"/>
      <c r="P25" s="40"/>
      <c r="Q25" s="8"/>
      <c r="R25" s="45"/>
    </row>
    <row r="26" spans="1:18" ht="12.75">
      <c r="A26" s="4" t="s">
        <v>15</v>
      </c>
      <c r="B26" s="24">
        <f t="shared" si="3"/>
        <v>22</v>
      </c>
      <c r="C26" s="61">
        <f t="shared" si="3"/>
        <v>1</v>
      </c>
      <c r="D26" s="27">
        <f t="shared" si="2"/>
        <v>372</v>
      </c>
      <c r="E26" s="50">
        <v>0.038</v>
      </c>
      <c r="F26" s="23">
        <v>20</v>
      </c>
      <c r="G26" s="6">
        <v>71</v>
      </c>
      <c r="H26" s="48" t="str">
        <f>IF(R26=R$29,"OPTIMÁLNÍ","----")</f>
        <v>----</v>
      </c>
      <c r="I26" s="37">
        <f>G26/((3.14*(B26+2*F26)^2/4-3.14*B26^2/4)/1000000)</f>
        <v>26918.41067637246</v>
      </c>
      <c r="J26" s="38">
        <f>PI()/((1/(2*D26)*LN(B26/(B26-2*C26)))+(1/('Zadání parametrů'!D$14*(B26)/1000)))*('Zadání parametrů'!D$16-'Zadání parametrů'!D$9)</f>
        <v>24.399015302561075</v>
      </c>
      <c r="K26" s="39">
        <f>J26/1000*24*'Zadání parametrů'!$D$6</f>
        <v>128.241224430261</v>
      </c>
      <c r="L26" s="39">
        <f>K26*'Zadání parametrů'!$D$18</f>
        <v>184.66788024964075</v>
      </c>
      <c r="M26" s="38">
        <f>PI()/((1/(2*D26)*LN(B26/(B26-2*C26)))+(1/(2*E26)*LN((B26+2*F26)/B26))+(1/('Zadání parametrů'!D$14*(B26+2*F26)/1000)))*('Zadání parametrů'!D$16-'Zadání parametrů'!D$9)</f>
        <v>7.2746327409980145</v>
      </c>
      <c r="N26" s="39">
        <f>M26/1000*24*'Zadání parametrů'!$D$6</f>
        <v>38.23546968668556</v>
      </c>
      <c r="O26" s="39">
        <f>N26*'Zadání parametrů'!$D$18</f>
        <v>55.059230514672706</v>
      </c>
      <c r="P26" s="40">
        <f>L26-O26</f>
        <v>129.60864973496803</v>
      </c>
      <c r="Q26" s="8">
        <f>G26/P26*365</f>
        <v>199.94807486223053</v>
      </c>
      <c r="R26" s="45">
        <f>(O26*'Zadání parametrů'!$D$4)+G26</f>
        <v>126.0592305146727</v>
      </c>
    </row>
    <row r="27" spans="1:18" ht="12.75">
      <c r="A27" s="4" t="s">
        <v>15</v>
      </c>
      <c r="B27" s="24">
        <f t="shared" si="3"/>
        <v>22</v>
      </c>
      <c r="C27" s="61">
        <f t="shared" si="3"/>
        <v>1</v>
      </c>
      <c r="D27" s="27">
        <f t="shared" si="2"/>
        <v>372</v>
      </c>
      <c r="E27" s="27">
        <f t="shared" si="4"/>
        <v>0.038</v>
      </c>
      <c r="F27" s="23">
        <v>25</v>
      </c>
      <c r="G27" s="6">
        <v>74</v>
      </c>
      <c r="H27" s="48" t="str">
        <f>IF(R27=R$29,"OPTIMÁLNÍ","----")</f>
        <v>----</v>
      </c>
      <c r="I27" s="37">
        <f>G27/((3.14*(B27+2*F27)^2/4-3.14*B27^2/4)/1000000)</f>
        <v>20056.918281609975</v>
      </c>
      <c r="J27" s="38">
        <f>PI()/((1/(2*D27)*LN(B27/(B27-2*C27)))+(1/('Zadání parametrů'!D$14*(B27)/1000)))*('Zadání parametrů'!D$16-'Zadání parametrů'!D$9)</f>
        <v>24.399015302561075</v>
      </c>
      <c r="K27" s="39">
        <f>J27/1000*24*'Zadání parametrů'!$D$6</f>
        <v>128.241224430261</v>
      </c>
      <c r="L27" s="39">
        <f>K27*'Zadání parametrů'!$D$18</f>
        <v>184.66788024964075</v>
      </c>
      <c r="M27" s="38">
        <f>PI()/((1/(2*D27)*LN(B27/(B27-2*C27)))+(1/(2*E27)*LN((B27+2*F27)/B27))+(1/('Zadání parametrů'!D$14*(B27+2*F27)/1000)))*('Zadání parametrů'!D$16-'Zadání parametrů'!D$9)</f>
        <v>6.528082696463976</v>
      </c>
      <c r="N27" s="39">
        <f>M27/1000*24*'Zadání parametrů'!$D$6</f>
        <v>34.31160265261466</v>
      </c>
      <c r="O27" s="39">
        <f>N27*'Zadání parametrů'!$D$18</f>
        <v>49.40884616453442</v>
      </c>
      <c r="P27" s="40">
        <f>L27-O27</f>
        <v>135.25903408510632</v>
      </c>
      <c r="Q27" s="8">
        <f>G27/P27*365</f>
        <v>199.6909129412017</v>
      </c>
      <c r="R27" s="45">
        <f>(O27*'Zadání parametrů'!$D$4)+G27</f>
        <v>123.40884616453442</v>
      </c>
    </row>
    <row r="28" spans="1:18" ht="12.75">
      <c r="A28" s="4" t="s">
        <v>15</v>
      </c>
      <c r="B28" s="24">
        <f t="shared" si="3"/>
        <v>22</v>
      </c>
      <c r="C28" s="61">
        <f t="shared" si="3"/>
        <v>1</v>
      </c>
      <c r="D28" s="27">
        <f t="shared" si="2"/>
        <v>372</v>
      </c>
      <c r="E28" s="27">
        <f t="shared" si="4"/>
        <v>0.038</v>
      </c>
      <c r="F28" s="23">
        <v>30</v>
      </c>
      <c r="G28" s="6">
        <v>79</v>
      </c>
      <c r="H28" s="48" t="str">
        <f>IF(R28=R$29,"OPTIMÁLNÍ","----")</f>
        <v>----</v>
      </c>
      <c r="I28" s="37">
        <f>G28/((3.14*(B28+2*F28)^2/4-3.14*B28^2/4)/1000000)</f>
        <v>16127.715172301158</v>
      </c>
      <c r="J28" s="38">
        <f>PI()/((1/(2*D28)*LN(B28/(B28-2*C28)))+(1/('Zadání parametrů'!D$14*(B28)/1000)))*('Zadání parametrů'!D$16-'Zadání parametrů'!D$9)</f>
        <v>24.399015302561075</v>
      </c>
      <c r="K28" s="39">
        <f>J28/1000*24*'Zadání parametrů'!$D$6</f>
        <v>128.241224430261</v>
      </c>
      <c r="L28" s="39">
        <f>K28*'Zadání parametrů'!$D$18</f>
        <v>184.66788024964075</v>
      </c>
      <c r="M28" s="38">
        <f>PI()/((1/(2*D28)*LN(B28/(B28-2*C28)))+(1/(2*E28)*LN((B28+2*F28)/B28))+(1/('Zadání parametrů'!D$14*(B28+2*F28)/1000)))*('Zadání parametrů'!D$16-'Zadání parametrů'!D$9)</f>
        <v>5.984926930310947</v>
      </c>
      <c r="N28" s="39">
        <f>M28/1000*24*'Zadání parametrů'!$D$6</f>
        <v>31.456775945714337</v>
      </c>
      <c r="O28" s="39">
        <f>N28*'Zadání parametrů'!$D$18</f>
        <v>45.29788419590444</v>
      </c>
      <c r="P28" s="40">
        <f>L28-O28</f>
        <v>139.36999605373632</v>
      </c>
      <c r="Q28" s="8">
        <f>G28/P28*365</f>
        <v>206.89532048836546</v>
      </c>
      <c r="R28" s="45">
        <f>(O28*'Zadání parametrů'!$D$4)+G28</f>
        <v>124.29788419590443</v>
      </c>
    </row>
    <row r="29" spans="1:18" ht="15.75" customHeight="1">
      <c r="A29" s="42"/>
      <c r="B29" s="22"/>
      <c r="C29" s="25"/>
      <c r="D29" s="25"/>
      <c r="E29" s="25"/>
      <c r="F29" s="22"/>
      <c r="G29" s="25"/>
      <c r="H29" s="22"/>
      <c r="I29" s="31"/>
      <c r="J29" s="31"/>
      <c r="K29" s="33"/>
      <c r="L29" s="33"/>
      <c r="M29" s="33"/>
      <c r="N29" s="33"/>
      <c r="O29" s="49" t="s">
        <v>60</v>
      </c>
      <c r="P29" s="34"/>
      <c r="Q29" s="8"/>
      <c r="R29" s="47">
        <f>MIN(R20:R28)</f>
        <v>88.30526987652769</v>
      </c>
    </row>
    <row r="30" spans="1:18" ht="21.75" customHeight="1">
      <c r="A30" s="41" t="s">
        <v>22</v>
      </c>
      <c r="B30" s="22"/>
      <c r="C30" s="42"/>
      <c r="D30" s="42"/>
      <c r="E30" s="25"/>
      <c r="F30" s="22"/>
      <c r="G30" s="25"/>
      <c r="H30" s="22"/>
      <c r="I30" s="31"/>
      <c r="J30" s="31"/>
      <c r="K30" s="33"/>
      <c r="L30" s="33"/>
      <c r="M30" s="33"/>
      <c r="N30" s="33"/>
      <c r="O30" s="33"/>
      <c r="P30" s="34"/>
      <c r="Q30" s="35"/>
      <c r="R30" s="43"/>
    </row>
    <row r="31" spans="1:18" ht="12.75">
      <c r="A31" s="4" t="s">
        <v>6</v>
      </c>
      <c r="B31" s="23">
        <v>28</v>
      </c>
      <c r="C31" s="6">
        <v>1</v>
      </c>
      <c r="D31" s="27">
        <f aca="true" t="shared" si="5" ref="D31:D39">D$7</f>
        <v>372</v>
      </c>
      <c r="E31" s="50">
        <v>0.044</v>
      </c>
      <c r="F31" s="23">
        <v>6</v>
      </c>
      <c r="G31" s="6">
        <v>5.4</v>
      </c>
      <c r="H31" s="48" t="str">
        <f>IF(R31=R$40,"OPTIMÁLNÍ","----")</f>
        <v>----</v>
      </c>
      <c r="I31" s="37">
        <f>G31/((3.14*(B31+2*F31)^2/4-3.14*B31^2/4)/1000000)</f>
        <v>8430.123641813414</v>
      </c>
      <c r="J31" s="38">
        <f>PI()/((1/(2*D31)*LN(B31/(B31-2*C31)))+(1/('Zadání parametrů'!D$14*(B31)/1000)))*('Zadání parametrů'!D$16-'Zadání parametrů'!D$9)</f>
        <v>31.05330130226124</v>
      </c>
      <c r="K31" s="39">
        <f>J31/1000*24*'Zadání parametrů'!$D$6</f>
        <v>163.21615164468508</v>
      </c>
      <c r="L31" s="39">
        <f>K31*'Zadání parametrů'!$D$18</f>
        <v>235.03191645771284</v>
      </c>
      <c r="M31" s="38">
        <f>PI()/((1/(2*D31)*LN(B31/(B31-2*C31)))+(1/(2*E31)*LN((B31+2*F31)/B31))+(1/('Zadání parametrů'!D$14*(B31+2*F31)/1000)))*('Zadání parametrů'!D$16-'Zadání parametrů'!D$9)</f>
        <v>16.92414926605771</v>
      </c>
      <c r="N31" s="39">
        <f>M31/1000*24*'Zadání parametrů'!$D$6</f>
        <v>88.95332854239932</v>
      </c>
      <c r="O31" s="39">
        <f>N31*'Zadání parametrů'!$D$18</f>
        <v>128.09315176188008</v>
      </c>
      <c r="P31" s="40">
        <f>L31-O31</f>
        <v>106.93876469583276</v>
      </c>
      <c r="Q31" s="8">
        <f>G31/P31*365</f>
        <v>18.43110873410722</v>
      </c>
      <c r="R31" s="45">
        <f>(O31*'Zadání parametrů'!$D$4)+G31</f>
        <v>133.49315176188009</v>
      </c>
    </row>
    <row r="32" spans="1:18" ht="12.75">
      <c r="A32" s="4" t="s">
        <v>6</v>
      </c>
      <c r="B32" s="24">
        <f>B$31</f>
        <v>28</v>
      </c>
      <c r="C32" s="61">
        <f>C$31</f>
        <v>1</v>
      </c>
      <c r="D32" s="27">
        <f t="shared" si="5"/>
        <v>372</v>
      </c>
      <c r="E32" s="27">
        <f>E31</f>
        <v>0.044</v>
      </c>
      <c r="F32" s="23">
        <v>9</v>
      </c>
      <c r="G32" s="6">
        <v>8.4</v>
      </c>
      <c r="H32" s="48" t="str">
        <f>IF(R32=R$40,"OPTIMÁLNÍ","----")</f>
        <v>----</v>
      </c>
      <c r="I32" s="37">
        <f>G32/((3.14*(B32+2*F32)^2/4-3.14*B32^2/4)/1000000)</f>
        <v>8033.511218224593</v>
      </c>
      <c r="J32" s="38">
        <f>PI()/((1/(2*D32)*LN(B32/(B32-2*C32)))+(1/('Zadání parametrů'!D$14*(B32)/1000)))*('Zadání parametrů'!D$16-'Zadání parametrů'!D$9)</f>
        <v>31.05330130226124</v>
      </c>
      <c r="K32" s="39">
        <f>J32/1000*24*'Zadání parametrů'!$D$6</f>
        <v>163.21615164468508</v>
      </c>
      <c r="L32" s="39">
        <f>K32*'Zadání parametrů'!$D$18</f>
        <v>235.03191645771284</v>
      </c>
      <c r="M32" s="38">
        <f>PI()/((1/(2*D32)*LN(B32/(B32-2*C32)))+(1/(2*E32)*LN((B32+2*F32)/B32))+(1/('Zadání parametrů'!D$14*(B32+2*F32)/1000)))*('Zadání parametrů'!D$16-'Zadání parametrů'!D$9)</f>
        <v>14.191030436702556</v>
      </c>
      <c r="N32" s="39">
        <f>M32/1000*24*'Zadání parametrů'!$D$6</f>
        <v>74.58805597530863</v>
      </c>
      <c r="O32" s="39">
        <f>N32*'Zadání parametrů'!$D$18</f>
        <v>107.4071013443283</v>
      </c>
      <c r="P32" s="40">
        <f>L32-O32</f>
        <v>127.62481511338454</v>
      </c>
      <c r="Q32" s="8">
        <f>G32/P32*365</f>
        <v>24.023541168511013</v>
      </c>
      <c r="R32" s="45">
        <f>(O32*'Zadání parametrů'!$D$4)+G32</f>
        <v>115.8071013443283</v>
      </c>
    </row>
    <row r="33" spans="1:18" ht="12.75">
      <c r="A33" s="4" t="s">
        <v>6</v>
      </c>
      <c r="B33" s="24">
        <f aca="true" t="shared" si="6" ref="B33:C39">B$31</f>
        <v>28</v>
      </c>
      <c r="C33" s="61">
        <f t="shared" si="6"/>
        <v>1</v>
      </c>
      <c r="D33" s="27">
        <f t="shared" si="5"/>
        <v>372</v>
      </c>
      <c r="E33" s="27">
        <f aca="true" t="shared" si="7" ref="E33:E39">E32</f>
        <v>0.044</v>
      </c>
      <c r="F33" s="29">
        <v>13</v>
      </c>
      <c r="G33" s="6">
        <v>15.9</v>
      </c>
      <c r="H33" s="48" t="str">
        <f>IF(R33=R$40,"OPTIMÁLNÍ","----")</f>
        <v>----</v>
      </c>
      <c r="I33" s="37">
        <f>G33/((3.14*(B33+2*F33)^2/4-3.14*B33^2/4)/1000000)</f>
        <v>9500.364479391978</v>
      </c>
      <c r="J33" s="38">
        <f>PI()/((1/(2*D33)*LN(B33/(B33-2*C33)))+(1/('Zadání parametrů'!D$14*(B33)/1000)))*('Zadání parametrů'!D$16-'Zadání parametrů'!D$9)</f>
        <v>31.05330130226124</v>
      </c>
      <c r="K33" s="39">
        <f>J33/1000*24*'Zadání parametrů'!$D$6</f>
        <v>163.21615164468508</v>
      </c>
      <c r="L33" s="39">
        <f>K33*'Zadání parametrů'!$D$18</f>
        <v>235.03191645771284</v>
      </c>
      <c r="M33" s="38">
        <f>PI()/((1/(2*D33)*LN(B33/(B33-2*C33)))+(1/(2*E33)*LN((B33+2*F33)/B33))+(1/('Zadání parametrů'!D$14*(B33+2*F33)/1000)))*('Zadání parametrů'!D$16-'Zadání parametrů'!D$9)</f>
        <v>11.905905603453078</v>
      </c>
      <c r="N33" s="39">
        <f>M33/1000*24*'Zadání parametrů'!$D$6</f>
        <v>62.57743985174938</v>
      </c>
      <c r="O33" s="39">
        <f>N33*'Zadání parametrů'!$D$18</f>
        <v>90.11176569946315</v>
      </c>
      <c r="P33" s="40">
        <f>L33-O33</f>
        <v>144.9201507582497</v>
      </c>
      <c r="Q33" s="8">
        <f>G33/P33*365</f>
        <v>40.04619074459272</v>
      </c>
      <c r="R33" s="45">
        <f>(O33*'Zadání parametrů'!$D$4)+G33</f>
        <v>106.01176569946315</v>
      </c>
    </row>
    <row r="34" spans="1:18" ht="12.75">
      <c r="A34" s="4" t="s">
        <v>6</v>
      </c>
      <c r="B34" s="24">
        <f t="shared" si="6"/>
        <v>28</v>
      </c>
      <c r="C34" s="61">
        <f t="shared" si="6"/>
        <v>1</v>
      </c>
      <c r="D34" s="27">
        <f t="shared" si="5"/>
        <v>372</v>
      </c>
      <c r="E34" s="27">
        <f t="shared" si="7"/>
        <v>0.044</v>
      </c>
      <c r="F34" s="23">
        <v>20</v>
      </c>
      <c r="G34" s="50">
        <v>29.8</v>
      </c>
      <c r="H34" s="48" t="str">
        <f>IF(R34=R$40,"OPTIMÁLNÍ","----")</f>
        <v>OPTIMÁLNÍ</v>
      </c>
      <c r="I34" s="37">
        <f>G34/((3.14*(B34+2*F34)^2/4-3.14*B34^2/4)/1000000)</f>
        <v>9885.88110403397</v>
      </c>
      <c r="J34" s="38">
        <f>PI()/((1/(2*D34)*LN(B34/(B34-2*C34)))+(1/('Zadání parametrů'!D$14*(B34)/1000)))*('Zadání parametrů'!D$16-'Zadání parametrů'!D$9)</f>
        <v>31.05330130226124</v>
      </c>
      <c r="K34" s="39">
        <f>J34/1000*24*'Zadání parametrů'!$D$6</f>
        <v>163.21615164468508</v>
      </c>
      <c r="L34" s="39">
        <f>K34*'Zadání parametrů'!$D$18</f>
        <v>235.03191645771284</v>
      </c>
      <c r="M34" s="38">
        <f>PI()/((1/(2*D34)*LN(B34/(B34-2*C34)))+(1/(2*E34)*LN((B34+2*F34)/B34))+(1/('Zadání parametrů'!D$14*(B34+2*F34)/1000)))*('Zadání parametrů'!D$16-'Zadání parametrů'!D$9)</f>
        <v>9.599344379969267</v>
      </c>
      <c r="N34" s="39">
        <f>M34/1000*24*'Zadání parametrů'!$D$6</f>
        <v>50.454154061118466</v>
      </c>
      <c r="O34" s="39">
        <f>N34*'Zadání parametrů'!$D$18</f>
        <v>72.65418527972945</v>
      </c>
      <c r="P34" s="40">
        <f>L34-O34</f>
        <v>162.37773117798338</v>
      </c>
      <c r="Q34" s="8">
        <f>G34/P34*365</f>
        <v>66.98578629650665</v>
      </c>
      <c r="R34" s="45">
        <f>(O34*'Zadání parametrů'!$D$4)+G34</f>
        <v>102.45418527972944</v>
      </c>
    </row>
    <row r="35" spans="1:18" ht="12.75">
      <c r="A35" s="4" t="s">
        <v>6</v>
      </c>
      <c r="B35" s="24">
        <f t="shared" si="6"/>
        <v>28</v>
      </c>
      <c r="C35" s="61">
        <f t="shared" si="6"/>
        <v>1</v>
      </c>
      <c r="D35" s="27">
        <f t="shared" si="5"/>
        <v>372</v>
      </c>
      <c r="E35" s="27">
        <f t="shared" si="7"/>
        <v>0.044</v>
      </c>
      <c r="F35" s="23">
        <v>25</v>
      </c>
      <c r="G35" s="6">
        <v>48</v>
      </c>
      <c r="H35" s="48" t="str">
        <f>IF(R35=R$40,"OPTIMÁLNÍ","----")</f>
        <v>----</v>
      </c>
      <c r="I35" s="37">
        <f>G35/((3.14*(B35+2*F35)^2/4-3.14*B35^2/4)/1000000)</f>
        <v>11537.074870808796</v>
      </c>
      <c r="J35" s="38">
        <f>PI()/((1/(2*D35)*LN(B35/(B35-2*C35)))+(1/('Zadání parametrů'!D$14*(B35)/1000)))*('Zadání parametrů'!D$16-'Zadání parametrů'!D$9)</f>
        <v>31.05330130226124</v>
      </c>
      <c r="K35" s="39">
        <f>J35/1000*24*'Zadání parametrů'!$D$6</f>
        <v>163.21615164468508</v>
      </c>
      <c r="L35" s="39">
        <f>K35*'Zadání parametrů'!$D$18</f>
        <v>235.03191645771284</v>
      </c>
      <c r="M35" s="38">
        <f>PI()/((1/(2*D35)*LN(B35/(B35-2*C35)))+(1/(2*E35)*LN((B35+2*F35)/B35))+(1/('Zadání parametrů'!D$14*(B35+2*F35)/1000)))*('Zadání parametrů'!D$16-'Zadání parametrů'!D$9)</f>
        <v>8.581370691789234</v>
      </c>
      <c r="N35" s="39">
        <f>M35/1000*24*'Zadání parametrů'!$D$6</f>
        <v>45.103684356044205</v>
      </c>
      <c r="O35" s="39">
        <f>N35*'Zadání parametrů'!$D$18</f>
        <v>64.94948733126824</v>
      </c>
      <c r="P35" s="40">
        <f>L35-O35</f>
        <v>170.0824291264446</v>
      </c>
      <c r="Q35" s="8">
        <f>G35/P35*365</f>
        <v>103.0088768721376</v>
      </c>
      <c r="R35" s="45">
        <f>(O35*'Zadání parametrů'!$D$4)+G35</f>
        <v>112.94948733126824</v>
      </c>
    </row>
    <row r="36" spans="1:18" ht="12.75">
      <c r="A36" s="4"/>
      <c r="B36" s="24"/>
      <c r="C36" s="61"/>
      <c r="D36" s="27"/>
      <c r="E36" s="27"/>
      <c r="F36" s="23"/>
      <c r="G36" s="6"/>
      <c r="H36" s="48"/>
      <c r="I36" s="37"/>
      <c r="J36" s="38"/>
      <c r="K36" s="39"/>
      <c r="L36" s="39"/>
      <c r="M36" s="38"/>
      <c r="N36" s="39"/>
      <c r="O36" s="39"/>
      <c r="P36" s="40"/>
      <c r="Q36" s="8"/>
      <c r="R36" s="45"/>
    </row>
    <row r="37" spans="1:18" ht="12.75">
      <c r="A37" s="4" t="s">
        <v>15</v>
      </c>
      <c r="B37" s="24">
        <f t="shared" si="6"/>
        <v>28</v>
      </c>
      <c r="C37" s="61">
        <f t="shared" si="6"/>
        <v>1</v>
      </c>
      <c r="D37" s="27">
        <f t="shared" si="5"/>
        <v>372</v>
      </c>
      <c r="E37" s="50">
        <v>0.038</v>
      </c>
      <c r="F37" s="23">
        <v>20</v>
      </c>
      <c r="G37" s="6">
        <v>72</v>
      </c>
      <c r="H37" s="48" t="str">
        <f>IF(R37=R$40,"OPTIMÁLNÍ","----")</f>
        <v>----</v>
      </c>
      <c r="I37" s="37">
        <f>G37/((3.14*(B37+2*F37)^2/4-3.14*B37^2/4)/1000000)</f>
        <v>23885.350318471337</v>
      </c>
      <c r="J37" s="38">
        <f>PI()/((1/(2*D37)*LN(B37/(B37-2*C37)))+(1/('Zadání parametrů'!D$14*(B37)/1000)))*('Zadání parametrů'!D$16-'Zadání parametrů'!D$9)</f>
        <v>31.05330130226124</v>
      </c>
      <c r="K37" s="39">
        <f>J37/1000*24*'Zadání parametrů'!$D$6</f>
        <v>163.21615164468508</v>
      </c>
      <c r="L37" s="39">
        <f>K37*'Zadání parametrů'!$D$18</f>
        <v>235.03191645771284</v>
      </c>
      <c r="M37" s="38">
        <f>PI()/((1/(2*D37)*LN(B37/(B37-2*C37)))+(1/(2*E37)*LN((B37+2*F37)/B37))+(1/('Zadání parametrů'!D$14*(B37+2*F37)/1000)))*('Zadání parametrů'!D$16-'Zadání parametrů'!D$9)</f>
        <v>8.436788344407516</v>
      </c>
      <c r="N37" s="39">
        <f>M37/1000*24*'Zadání parametrů'!$D$6</f>
        <v>44.343759538205894</v>
      </c>
      <c r="O37" s="39">
        <f>N37*'Zadání parametrů'!$D$18</f>
        <v>63.85519252955563</v>
      </c>
      <c r="P37" s="40">
        <f>L37-O37</f>
        <v>171.1767239281572</v>
      </c>
      <c r="Q37" s="8">
        <f>G37/P37*365</f>
        <v>153.52554597919342</v>
      </c>
      <c r="R37" s="45">
        <f>(O37*'Zadání parametrů'!$D$4)+G37</f>
        <v>135.85519252955564</v>
      </c>
    </row>
    <row r="38" spans="1:18" ht="12.75">
      <c r="A38" s="4" t="s">
        <v>15</v>
      </c>
      <c r="B38" s="24">
        <f t="shared" si="6"/>
        <v>28</v>
      </c>
      <c r="C38" s="61">
        <f t="shared" si="6"/>
        <v>1</v>
      </c>
      <c r="D38" s="27">
        <f t="shared" si="5"/>
        <v>372</v>
      </c>
      <c r="E38" s="27">
        <f t="shared" si="7"/>
        <v>0.038</v>
      </c>
      <c r="F38" s="23">
        <v>25</v>
      </c>
      <c r="G38" s="6">
        <v>76</v>
      </c>
      <c r="H38" s="48" t="str">
        <f>IF(R38=R$40,"OPTIMÁLNÍ","----")</f>
        <v>----</v>
      </c>
      <c r="I38" s="37">
        <f>G38/((3.14*(B38+2*F38)^2/4-3.14*B38^2/4)/1000000)</f>
        <v>18267.03521211393</v>
      </c>
      <c r="J38" s="38">
        <f>PI()/((1/(2*D38)*LN(B38/(B38-2*C38)))+(1/('Zadání parametrů'!D$14*(B38)/1000)))*('Zadání parametrů'!D$16-'Zadání parametrů'!D$9)</f>
        <v>31.05330130226124</v>
      </c>
      <c r="K38" s="39">
        <f>J38/1000*24*'Zadání parametrů'!$D$6</f>
        <v>163.21615164468508</v>
      </c>
      <c r="L38" s="39">
        <f>K38*'Zadání parametrů'!$D$18</f>
        <v>235.03191645771284</v>
      </c>
      <c r="M38" s="38">
        <f>PI()/((1/(2*D38)*LN(B38/(B38-2*C38)))+(1/(2*E38)*LN((B38+2*F38)/B38))+(1/('Zadání parametrů'!D$14*(B38+2*F38)/1000)))*('Zadání parametrů'!D$16-'Zadání parametrů'!D$9)</f>
        <v>7.512816914179258</v>
      </c>
      <c r="N38" s="39">
        <f>M38/1000*24*'Zadání parametrů'!$D$6</f>
        <v>39.487365700926176</v>
      </c>
      <c r="O38" s="39">
        <f>N38*'Zadání parametrů'!$D$18</f>
        <v>56.86196582283805</v>
      </c>
      <c r="P38" s="40">
        <f>L38-O38</f>
        <v>178.1699506348748</v>
      </c>
      <c r="Q38" s="8">
        <f>G38/P38*365</f>
        <v>155.6940432500193</v>
      </c>
      <c r="R38" s="45">
        <f>(O38*'Zadání parametrů'!$D$4)+G38</f>
        <v>132.86196582283804</v>
      </c>
    </row>
    <row r="39" spans="1:18" ht="12.75">
      <c r="A39" s="4" t="s">
        <v>15</v>
      </c>
      <c r="B39" s="24">
        <f t="shared" si="6"/>
        <v>28</v>
      </c>
      <c r="C39" s="61">
        <f t="shared" si="6"/>
        <v>1</v>
      </c>
      <c r="D39" s="27">
        <f t="shared" si="5"/>
        <v>372</v>
      </c>
      <c r="E39" s="27">
        <f t="shared" si="7"/>
        <v>0.038</v>
      </c>
      <c r="F39" s="23">
        <v>30</v>
      </c>
      <c r="G39" s="6">
        <v>81</v>
      </c>
      <c r="H39" s="48" t="str">
        <f>IF(R39=R$40,"OPTIMÁLNÍ","----")</f>
        <v>----</v>
      </c>
      <c r="I39" s="37">
        <f>G39/((3.14*(B39+2*F39)^2/4-3.14*B39^2/4)/1000000)</f>
        <v>14825.389852844277</v>
      </c>
      <c r="J39" s="38">
        <f>PI()/((1/(2*D39)*LN(B39/(B39-2*C39)))+(1/('Zadání parametrů'!D$14*(B39)/1000)))*('Zadání parametrů'!D$16-'Zadání parametrů'!D$9)</f>
        <v>31.05330130226124</v>
      </c>
      <c r="K39" s="39">
        <f>J39/1000*24*'Zadání parametrů'!$D$6</f>
        <v>163.21615164468508</v>
      </c>
      <c r="L39" s="39">
        <f>K39*'Zadání parametrů'!$D$18</f>
        <v>235.03191645771284</v>
      </c>
      <c r="M39" s="38">
        <f>PI()/((1/(2*D39)*LN(B39/(B39-2*C39)))+(1/(2*E39)*LN((B39+2*F39)/B39))+(1/('Zadání parametrů'!D$14*(B39+2*F39)/1000)))*('Zadání parametrů'!D$16-'Zadání parametrů'!D$9)</f>
        <v>6.844469557084681</v>
      </c>
      <c r="N39" s="39">
        <f>M39/1000*24*'Zadání parametrů'!$D$6</f>
        <v>35.97453199203708</v>
      </c>
      <c r="O39" s="39">
        <f>N39*'Zadání parametrů'!$D$18</f>
        <v>51.803471118252574</v>
      </c>
      <c r="P39" s="40">
        <f>L39-O39</f>
        <v>183.22844533946028</v>
      </c>
      <c r="Q39" s="8">
        <f>G39/P39*365</f>
        <v>161.35595073803123</v>
      </c>
      <c r="R39" s="45">
        <f>(O39*'Zadání parametrů'!$D$4)+G39</f>
        <v>132.80347111825256</v>
      </c>
    </row>
    <row r="40" spans="1:18" ht="15.75" customHeight="1">
      <c r="A40" s="42"/>
      <c r="B40" s="22"/>
      <c r="C40" s="25"/>
      <c r="D40" s="25"/>
      <c r="E40" s="25"/>
      <c r="F40" s="22"/>
      <c r="G40" s="25"/>
      <c r="H40" s="22"/>
      <c r="I40" s="31"/>
      <c r="J40" s="31"/>
      <c r="K40" s="33"/>
      <c r="L40" s="33"/>
      <c r="M40" s="33"/>
      <c r="N40" s="33"/>
      <c r="O40" s="49" t="s">
        <v>60</v>
      </c>
      <c r="P40" s="34"/>
      <c r="Q40" s="8"/>
      <c r="R40" s="47">
        <f>MIN(R31:R39)</f>
        <v>102.45418527972944</v>
      </c>
    </row>
    <row r="41" spans="1:18" ht="21.75" customHeight="1">
      <c r="A41" s="41" t="s">
        <v>40</v>
      </c>
      <c r="B41" s="22"/>
      <c r="C41" s="42"/>
      <c r="D41" s="42"/>
      <c r="E41" s="25"/>
      <c r="F41" s="22"/>
      <c r="G41" s="25"/>
      <c r="H41" s="22"/>
      <c r="I41" s="31"/>
      <c r="J41" s="31"/>
      <c r="K41" s="33"/>
      <c r="L41" s="33"/>
      <c r="M41" s="33"/>
      <c r="N41" s="33"/>
      <c r="O41" s="33"/>
      <c r="P41" s="34"/>
      <c r="Q41" s="35"/>
      <c r="R41" s="43"/>
    </row>
    <row r="42" spans="1:18" ht="12.75">
      <c r="A42" s="4" t="s">
        <v>6</v>
      </c>
      <c r="B42" s="23">
        <v>35</v>
      </c>
      <c r="C42" s="6">
        <v>1.5</v>
      </c>
      <c r="D42" s="27">
        <f aca="true" t="shared" si="8" ref="D42:D51">D$7</f>
        <v>372</v>
      </c>
      <c r="E42" s="50">
        <v>0.044</v>
      </c>
      <c r="F42" s="23">
        <v>6</v>
      </c>
      <c r="G42" s="6">
        <v>6.3</v>
      </c>
      <c r="H42" s="48" t="str">
        <f>IF(R42=R$52,"OPTIMÁLNÍ","----")</f>
        <v>----</v>
      </c>
      <c r="I42" s="37">
        <f>G42/((3.14*(B42+2*F42)^2/4-3.14*B42^2/4)/1000000)</f>
        <v>8155.973279478017</v>
      </c>
      <c r="J42" s="38">
        <f>PI()/((1/(2*D42)*LN(B42/(B42-2*C42)))+(1/('Zadání parametrů'!D$14*(B42)/1000)))*('Zadání parametrů'!D$16-'Zadání parametrů'!D$9)</f>
        <v>38.8160728869485</v>
      </c>
      <c r="K42" s="39">
        <f>J42/1000*24*'Zadání parametrů'!$D$6</f>
        <v>204.01727909380128</v>
      </c>
      <c r="L42" s="39">
        <f>K42*'Zadání parametrů'!$D$18</f>
        <v>293.78570449504673</v>
      </c>
      <c r="M42" s="38">
        <f>PI()/((1/(2*D42)*LN(B42/(B42-2*C42)))+(1/(2*E42)*LN((B42+2*F42)/B42))+(1/('Zadání parametrů'!D$14*(B42+2*F42)/1000)))*('Zadání parametrů'!D$16-'Zadání parametrů'!D$9)</f>
        <v>20.246860226411073</v>
      </c>
      <c r="N42" s="39">
        <f>M42/1000*24*'Zadání parametrů'!$D$6</f>
        <v>106.41749735001659</v>
      </c>
      <c r="O42" s="39">
        <f>N42*'Zadání parametrů'!$D$18</f>
        <v>153.24162526057478</v>
      </c>
      <c r="P42" s="40">
        <f>L42-O42</f>
        <v>140.54407923447195</v>
      </c>
      <c r="Q42" s="8">
        <f>G42/P42*365</f>
        <v>16.36141495625516</v>
      </c>
      <c r="R42" s="45">
        <f>(O42*'Zadání parametrů'!$D$4)+G42</f>
        <v>159.5416252605748</v>
      </c>
    </row>
    <row r="43" spans="1:18" ht="12.75">
      <c r="A43" s="4" t="s">
        <v>6</v>
      </c>
      <c r="B43" s="24">
        <f>B$42</f>
        <v>35</v>
      </c>
      <c r="C43" s="61">
        <f>C$42</f>
        <v>1.5</v>
      </c>
      <c r="D43" s="27">
        <f t="shared" si="8"/>
        <v>372</v>
      </c>
      <c r="E43" s="27">
        <f>E42</f>
        <v>0.044</v>
      </c>
      <c r="F43" s="23">
        <v>9</v>
      </c>
      <c r="G43" s="6">
        <v>9.9</v>
      </c>
      <c r="H43" s="48" t="str">
        <f>IF(R43=R$52,"OPTIMÁLNÍ","----")</f>
        <v>----</v>
      </c>
      <c r="I43" s="37">
        <f>G43/((3.14*(B43+2*F43)^2/4-3.14*B43^2/4)/1000000)</f>
        <v>7961.783439490447</v>
      </c>
      <c r="J43" s="38">
        <f>PI()/((1/(2*D43)*LN(B43/(B43-2*C43)))+(1/('Zadání parametrů'!D$14*(B43)/1000)))*('Zadání parametrů'!D$16-'Zadání parametrů'!D$9)</f>
        <v>38.8160728869485</v>
      </c>
      <c r="K43" s="39">
        <f>J43/1000*24*'Zadání parametrů'!$D$6</f>
        <v>204.01727909380128</v>
      </c>
      <c r="L43" s="39">
        <f>K43*'Zadání parametrů'!$D$18</f>
        <v>293.78570449504673</v>
      </c>
      <c r="M43" s="38">
        <f>PI()/((1/(2*D43)*LN(B43/(B43-2*C43)))+(1/(2*E43)*LN((B43+2*F43)/B43))+(1/('Zadání parametrů'!D$14*(B43+2*F43)/1000)))*('Zadání parametrů'!D$16-'Zadání parametrů'!D$9)</f>
        <v>16.798644443394984</v>
      </c>
      <c r="N43" s="39">
        <f>M43/1000*24*'Zadání parametrů'!$D$6</f>
        <v>88.29367519448404</v>
      </c>
      <c r="O43" s="39">
        <f>N43*'Zadání parametrů'!$D$18</f>
        <v>127.14324828115232</v>
      </c>
      <c r="P43" s="40">
        <f>L43-O43</f>
        <v>166.6424562138944</v>
      </c>
      <c r="Q43" s="8">
        <f>G43/P43*365</f>
        <v>21.68414989852215</v>
      </c>
      <c r="R43" s="45">
        <f>(O43*'Zadání parametrů'!$D$4)+G43</f>
        <v>137.04324828115233</v>
      </c>
    </row>
    <row r="44" spans="1:18" ht="12.75">
      <c r="A44" s="4" t="s">
        <v>6</v>
      </c>
      <c r="B44" s="24">
        <f aca="true" t="shared" si="9" ref="B44:C51">B$42</f>
        <v>35</v>
      </c>
      <c r="C44" s="61">
        <f t="shared" si="9"/>
        <v>1.5</v>
      </c>
      <c r="D44" s="27">
        <f t="shared" si="8"/>
        <v>372</v>
      </c>
      <c r="E44" s="27">
        <f>E43</f>
        <v>0.044</v>
      </c>
      <c r="F44" s="29">
        <v>13</v>
      </c>
      <c r="G44" s="50">
        <v>19.2</v>
      </c>
      <c r="H44" s="48" t="str">
        <f>IF(R44=R$52,"OPTIMÁLNÍ","----")</f>
        <v>----</v>
      </c>
      <c r="I44" s="37">
        <f>G44/((3.14*(B44+2*F44)^2/4-3.14*B44^2/4)/1000000)</f>
        <v>9799.118079372854</v>
      </c>
      <c r="J44" s="38">
        <f>PI()/((1/(2*D44)*LN(B44/(B44-2*C44)))+(1/('Zadání parametrů'!D$14*(B44)/1000)))*('Zadání parametrů'!D$16-'Zadání parametrů'!D$9)</f>
        <v>38.8160728869485</v>
      </c>
      <c r="K44" s="39">
        <f>J44/1000*24*'Zadání parametrů'!$D$6</f>
        <v>204.01727909380128</v>
      </c>
      <c r="L44" s="39">
        <f>K44*'Zadání parametrů'!$D$18</f>
        <v>293.78570449504673</v>
      </c>
      <c r="M44" s="38">
        <f>PI()/((1/(2*D44)*LN(B44/(B44-2*C44)))+(1/(2*E44)*LN((B44+2*F44)/B44))+(1/('Zadání parametrů'!D$14*(B44+2*F44)/1000)))*('Zadání parametrů'!D$16-'Zadání parametrů'!D$9)</f>
        <v>13.946698126542541</v>
      </c>
      <c r="N44" s="39">
        <f>M44/1000*24*'Zadání parametrů'!$D$6</f>
        <v>73.30384535310759</v>
      </c>
      <c r="O44" s="39">
        <f>N44*'Zadání parametrů'!$D$18</f>
        <v>105.55783287040707</v>
      </c>
      <c r="P44" s="40">
        <f>L44-O44</f>
        <v>188.22787162463965</v>
      </c>
      <c r="Q44" s="8">
        <f>G44/P44*365</f>
        <v>37.231468111030956</v>
      </c>
      <c r="R44" s="45">
        <f>(O44*'Zadání parametrů'!$D$4)+G44</f>
        <v>124.75783287040707</v>
      </c>
    </row>
    <row r="45" spans="1:18" ht="12.75">
      <c r="A45" s="4" t="s">
        <v>6</v>
      </c>
      <c r="B45" s="24">
        <f t="shared" si="9"/>
        <v>35</v>
      </c>
      <c r="C45" s="61">
        <f t="shared" si="9"/>
        <v>1.5</v>
      </c>
      <c r="D45" s="27">
        <f t="shared" si="8"/>
        <v>372</v>
      </c>
      <c r="E45" s="27">
        <f>E44</f>
        <v>0.044</v>
      </c>
      <c r="F45" s="23">
        <v>20</v>
      </c>
      <c r="G45" s="6">
        <v>35</v>
      </c>
      <c r="H45" s="48" t="str">
        <f>IF(R45=R$52,"OPTIMÁLNÍ","----")</f>
        <v>OPTIMÁLNÍ</v>
      </c>
      <c r="I45" s="37">
        <f>G45/((3.14*(B45+2*F45)^2/4-3.14*B45^2/4)/1000000)</f>
        <v>10133.17892298784</v>
      </c>
      <c r="J45" s="38">
        <f>PI()/((1/(2*D45)*LN(B45/(B45-2*C45)))+(1/('Zadání parametrů'!D$14*(B45)/1000)))*('Zadání parametrů'!D$16-'Zadání parametrů'!D$9)</f>
        <v>38.8160728869485</v>
      </c>
      <c r="K45" s="39">
        <f>J45/1000*24*'Zadání parametrů'!$D$6</f>
        <v>204.01727909380128</v>
      </c>
      <c r="L45" s="39">
        <f>K45*'Zadání parametrů'!$D$18</f>
        <v>293.78570449504673</v>
      </c>
      <c r="M45" s="38">
        <f>PI()/((1/(2*D45)*LN(B45/(B45-2*C45)))+(1/(2*E45)*LN((B45+2*F45)/B45))+(1/('Zadání parametrů'!D$14*(B45+2*F45)/1000)))*('Zadání parametrů'!D$16-'Zadání parametrů'!D$9)</f>
        <v>11.09728130051011</v>
      </c>
      <c r="N45" s="39">
        <f>M45/1000*24*'Zadání parametrů'!$D$6</f>
        <v>58.32731051548114</v>
      </c>
      <c r="O45" s="39">
        <f>N45*'Zadání parametrů'!$D$18</f>
        <v>83.9915623186674</v>
      </c>
      <c r="P45" s="40">
        <f>L45-O45</f>
        <v>209.79414217637932</v>
      </c>
      <c r="Q45" s="8">
        <f>G45/P45*365</f>
        <v>60.89302526502255</v>
      </c>
      <c r="R45" s="45">
        <f>(O45*'Zadání parametrů'!$D$4)+G45</f>
        <v>118.9915623186674</v>
      </c>
    </row>
    <row r="46" spans="1:18" ht="12.75">
      <c r="A46" s="4" t="s">
        <v>6</v>
      </c>
      <c r="B46" s="24">
        <f t="shared" si="9"/>
        <v>35</v>
      </c>
      <c r="C46" s="61">
        <f t="shared" si="9"/>
        <v>1.5</v>
      </c>
      <c r="D46" s="27">
        <f t="shared" si="8"/>
        <v>372</v>
      </c>
      <c r="E46" s="27">
        <f>E45</f>
        <v>0.044</v>
      </c>
      <c r="F46" s="23">
        <v>25</v>
      </c>
      <c r="G46" s="6">
        <v>52</v>
      </c>
      <c r="H46" s="48" t="str">
        <f>IF(R46=R$52,"OPTIMÁLNÍ","----")</f>
        <v>----</v>
      </c>
      <c r="I46" s="37">
        <f>G46/((3.14*(B46+2*F46)^2/4-3.14*B46^2/4)/1000000)</f>
        <v>11040.339702760086</v>
      </c>
      <c r="J46" s="38">
        <f>PI()/((1/(2*D46)*LN(B46/(B46-2*C46)))+(1/('Zadání parametrů'!D$14*(B46)/1000)))*('Zadání parametrů'!D$16-'Zadání parametrů'!D$9)</f>
        <v>38.8160728869485</v>
      </c>
      <c r="K46" s="39">
        <f>J46/1000*24*'Zadání parametrů'!$D$6</f>
        <v>204.01727909380128</v>
      </c>
      <c r="L46" s="39">
        <f>K46*'Zadání parametrů'!$D$18</f>
        <v>293.78570449504673</v>
      </c>
      <c r="M46" s="38">
        <f>PI()/((1/(2*D46)*LN(B46/(B46-2*C46)))+(1/(2*E46)*LN((B46+2*F46)/B46))+(1/('Zadání parametrů'!D$14*(B46+2*F46)/1000)))*('Zadání parametrů'!D$16-'Zadání parametrů'!D$9)</f>
        <v>9.850076296156496</v>
      </c>
      <c r="N46" s="39">
        <f>M46/1000*24*'Zadání parametrů'!$D$6</f>
        <v>51.772001012598544</v>
      </c>
      <c r="O46" s="39">
        <f>N46*'Zadání parametrů'!$D$18</f>
        <v>74.55189020343454</v>
      </c>
      <c r="P46" s="40">
        <f>L46-O46</f>
        <v>219.2338142916122</v>
      </c>
      <c r="Q46" s="8">
        <f>G46/P46*365</f>
        <v>86.57423610189028</v>
      </c>
      <c r="R46" s="45">
        <f>(O46*'Zadání parametrů'!$D$4)+G46</f>
        <v>126.55189020343454</v>
      </c>
    </row>
    <row r="47" spans="1:18" ht="12.75">
      <c r="A47" s="4"/>
      <c r="B47" s="24"/>
      <c r="C47" s="27"/>
      <c r="D47" s="27"/>
      <c r="E47" s="27"/>
      <c r="F47" s="23"/>
      <c r="G47" s="6"/>
      <c r="H47" s="48"/>
      <c r="I47" s="37"/>
      <c r="J47" s="38"/>
      <c r="K47" s="39"/>
      <c r="L47" s="39"/>
      <c r="M47" s="38"/>
      <c r="N47" s="39"/>
      <c r="O47" s="39"/>
      <c r="P47" s="40"/>
      <c r="Q47" s="8"/>
      <c r="R47" s="45"/>
    </row>
    <row r="48" spans="1:18" ht="12.75">
      <c r="A48" s="4" t="s">
        <v>15</v>
      </c>
      <c r="B48" s="24">
        <f t="shared" si="9"/>
        <v>35</v>
      </c>
      <c r="C48" s="61">
        <f t="shared" si="9"/>
        <v>1.5</v>
      </c>
      <c r="D48" s="27">
        <f t="shared" si="8"/>
        <v>372</v>
      </c>
      <c r="E48" s="50">
        <v>0.044</v>
      </c>
      <c r="F48" s="23">
        <v>20</v>
      </c>
      <c r="G48" s="6">
        <v>75</v>
      </c>
      <c r="H48" s="48" t="str">
        <f>IF(R48=R$52,"OPTIMÁLNÍ","----")</f>
        <v>----</v>
      </c>
      <c r="I48" s="37">
        <f>G48/((3.14*(B48+2*F48)^2/4-3.14*B48^2/4)/1000000)</f>
        <v>21713.95483497394</v>
      </c>
      <c r="J48" s="38">
        <f>PI()/((1/(2*D48)*LN(B48/(B48-2*C48)))+(1/('Zadání parametrů'!D$14*(B48)/1000)))*('Zadání parametrů'!D$16-'Zadání parametrů'!D$9)</f>
        <v>38.8160728869485</v>
      </c>
      <c r="K48" s="39">
        <f>J48/1000*24*'Zadání parametrů'!$D$6</f>
        <v>204.01727909380128</v>
      </c>
      <c r="L48" s="39">
        <f>K48*'Zadání parametrů'!$D$18</f>
        <v>293.78570449504673</v>
      </c>
      <c r="M48" s="38">
        <f>PI()/((1/(2*D48)*LN(B48/(B48-2*C48)))+(1/(2*E48)*LN((B48+2*F48)/B48))+(1/('Zadání parametrů'!D$14*(B48+2*F48)/1000)))*('Zadání parametrů'!D$16-'Zadání parametrů'!D$9)</f>
        <v>11.09728130051011</v>
      </c>
      <c r="N48" s="39">
        <f>M48/1000*24*'Zadání parametrů'!$D$6</f>
        <v>58.32731051548114</v>
      </c>
      <c r="O48" s="39">
        <f>N48*'Zadání parametrů'!$D$18</f>
        <v>83.9915623186674</v>
      </c>
      <c r="P48" s="40">
        <f>L48-O48</f>
        <v>209.79414217637932</v>
      </c>
      <c r="Q48" s="8">
        <f>G48/P48*365</f>
        <v>130.48505413933404</v>
      </c>
      <c r="R48" s="45">
        <f>(O48*'Zadání parametrů'!$D$4)+G48</f>
        <v>158.9915623186674</v>
      </c>
    </row>
    <row r="49" spans="1:18" ht="12.75">
      <c r="A49" s="4" t="s">
        <v>15</v>
      </c>
      <c r="B49" s="24">
        <f t="shared" si="9"/>
        <v>35</v>
      </c>
      <c r="C49" s="61">
        <f t="shared" si="9"/>
        <v>1.5</v>
      </c>
      <c r="D49" s="27">
        <f t="shared" si="8"/>
        <v>372</v>
      </c>
      <c r="E49" s="27">
        <f>E48</f>
        <v>0.044</v>
      </c>
      <c r="F49" s="23">
        <v>25</v>
      </c>
      <c r="G49" s="6">
        <v>79</v>
      </c>
      <c r="H49" s="48" t="str">
        <f>IF(R49=R$52,"OPTIMÁLNÍ","----")</f>
        <v>----</v>
      </c>
      <c r="I49" s="37">
        <f>G49/((3.14*(B49+2*F49)^2/4-3.14*B49^2/4)/1000000)</f>
        <v>16772.823779193208</v>
      </c>
      <c r="J49" s="38">
        <f>PI()/((1/(2*D49)*LN(B49/(B49-2*C49)))+(1/('Zadání parametrů'!D$14*(B49)/1000)))*('Zadání parametrů'!D$16-'Zadání parametrů'!D$9)</f>
        <v>38.8160728869485</v>
      </c>
      <c r="K49" s="39">
        <f>J49/1000*24*'Zadání parametrů'!$D$6</f>
        <v>204.01727909380128</v>
      </c>
      <c r="L49" s="39">
        <f>K49*'Zadání parametrů'!$D$18</f>
        <v>293.78570449504673</v>
      </c>
      <c r="M49" s="38">
        <f>PI()/((1/(2*D49)*LN(B49/(B49-2*C49)))+(1/(2*E49)*LN((B49+2*F49)/B49))+(1/('Zadání parametrů'!D$14*(B49+2*F49)/1000)))*('Zadání parametrů'!D$16-'Zadání parametrů'!D$9)</f>
        <v>9.850076296156496</v>
      </c>
      <c r="N49" s="39">
        <f>M49/1000*24*'Zadání parametrů'!$D$6</f>
        <v>51.772001012598544</v>
      </c>
      <c r="O49" s="39">
        <f>N49*'Zadání parametrů'!$D$18</f>
        <v>74.55189020343454</v>
      </c>
      <c r="P49" s="40">
        <f>L49-O49</f>
        <v>219.2338142916122</v>
      </c>
      <c r="Q49" s="8">
        <f>G49/P49*365</f>
        <v>131.526243308641</v>
      </c>
      <c r="R49" s="45">
        <f>(O49*'Zadání parametrů'!$D$4)+G49</f>
        <v>153.55189020343454</v>
      </c>
    </row>
    <row r="50" spans="1:18" ht="12.75">
      <c r="A50" s="4" t="s">
        <v>15</v>
      </c>
      <c r="B50" s="24">
        <f t="shared" si="9"/>
        <v>35</v>
      </c>
      <c r="C50" s="61">
        <f t="shared" si="9"/>
        <v>1.5</v>
      </c>
      <c r="D50" s="27">
        <f t="shared" si="8"/>
        <v>372</v>
      </c>
      <c r="E50" s="27">
        <f>E49</f>
        <v>0.044</v>
      </c>
      <c r="F50" s="23">
        <v>30</v>
      </c>
      <c r="G50" s="6">
        <v>83</v>
      </c>
      <c r="H50" s="48" t="str">
        <f>IF(R50=R$52,"OPTIMÁLNÍ","----")</f>
        <v>----</v>
      </c>
      <c r="I50" s="37">
        <f>G50/((3.14*(B50+2*F50)^2/4-3.14*B50^2/4)/1000000)</f>
        <v>13555.446676465785</v>
      </c>
      <c r="J50" s="38">
        <f>PI()/((1/(2*D50)*LN(B50/(B50-2*C50)))+(1/('Zadání parametrů'!D$14*(B50)/1000)))*('Zadání parametrů'!D$16-'Zadání parametrů'!D$9)</f>
        <v>38.8160728869485</v>
      </c>
      <c r="K50" s="39">
        <f>J50/1000*24*'Zadání parametrů'!$D$6</f>
        <v>204.01727909380128</v>
      </c>
      <c r="L50" s="39">
        <f>K50*'Zadání parametrů'!$D$18</f>
        <v>293.78570449504673</v>
      </c>
      <c r="M50" s="38">
        <f>PI()/((1/(2*D50)*LN(B50/(B50-2*C50)))+(1/(2*E50)*LN((B50+2*F50)/B50))+(1/('Zadání parametrů'!D$14*(B50+2*F50)/1000)))*('Zadání parametrů'!D$16-'Zadání parametrů'!D$9)</f>
        <v>8.944410273459889</v>
      </c>
      <c r="N50" s="39">
        <f>M50/1000*24*'Zadání parametrů'!$D$6</f>
        <v>47.01182039730518</v>
      </c>
      <c r="O50" s="39">
        <f>N50*'Zadání parametrů'!$D$18</f>
        <v>67.69721092431011</v>
      </c>
      <c r="P50" s="40">
        <f>L50-O50</f>
        <v>226.0884935707366</v>
      </c>
      <c r="Q50" s="8">
        <f>G50/P50*365</f>
        <v>133.99620441330228</v>
      </c>
      <c r="R50" s="45">
        <f>(O50*'Zadání parametrů'!$D$4)+G50</f>
        <v>150.69721092431013</v>
      </c>
    </row>
    <row r="51" spans="1:18" ht="12.75">
      <c r="A51" s="4" t="s">
        <v>15</v>
      </c>
      <c r="B51" s="24">
        <f t="shared" si="9"/>
        <v>35</v>
      </c>
      <c r="C51" s="61">
        <f t="shared" si="9"/>
        <v>1.5</v>
      </c>
      <c r="D51" s="27">
        <f t="shared" si="8"/>
        <v>372</v>
      </c>
      <c r="E51" s="27">
        <f>E50</f>
        <v>0.044</v>
      </c>
      <c r="F51" s="23">
        <v>40</v>
      </c>
      <c r="G51" s="6">
        <v>96</v>
      </c>
      <c r="H51" s="48" t="str">
        <f>IF(R51=R$52,"OPTIMÁLNÍ","----")</f>
        <v>----</v>
      </c>
      <c r="I51" s="37">
        <f>G51/((3.14*(B51+2*F51)^2/4-3.14*B51^2/4)/1000000)</f>
        <v>10191.082802547771</v>
      </c>
      <c r="J51" s="38">
        <f>PI()/((1/(2*D51)*LN(B51/(B51-2*C51)))+(1/('Zadání parametrů'!D$14*(B51)/1000)))*('Zadání parametrů'!D$16-'Zadání parametrů'!D$9)</f>
        <v>38.8160728869485</v>
      </c>
      <c r="K51" s="39">
        <f>J51/1000*24*'Zadání parametrů'!$D$6</f>
        <v>204.01727909380128</v>
      </c>
      <c r="L51" s="39">
        <f>K51*'Zadání parametrů'!$D$18</f>
        <v>293.78570449504673</v>
      </c>
      <c r="M51" s="38">
        <f>PI()/((1/(2*D51)*LN(B51/(B51-2*C51)))+(1/(2*E51)*LN((B51+2*F51)/B51))+(1/('Zadání parametrů'!D$14*(B51+2*F51)/1000)))*('Zadání parametrů'!D$16-'Zadání parametrů'!D$9)</f>
        <v>7.708518060709034</v>
      </c>
      <c r="N51" s="39">
        <f>M51/1000*24*'Zadání parametrů'!$D$6</f>
        <v>40.515970927086684</v>
      </c>
      <c r="O51" s="39">
        <f>N51*'Zadání parametrů'!$D$18</f>
        <v>58.34316149585707</v>
      </c>
      <c r="P51" s="40">
        <f>L51-O51</f>
        <v>235.44254299918967</v>
      </c>
      <c r="Q51" s="8">
        <f>G51/P51*365</f>
        <v>148.8261193310361</v>
      </c>
      <c r="R51" s="45">
        <f>(O51*'Zadání parametrů'!$D$4)+G51</f>
        <v>154.34316149585706</v>
      </c>
    </row>
    <row r="52" spans="1:18" ht="15.75" customHeight="1">
      <c r="A52" s="42"/>
      <c r="B52" s="22"/>
      <c r="C52" s="25"/>
      <c r="D52" s="25"/>
      <c r="E52" s="25"/>
      <c r="F52" s="22"/>
      <c r="G52" s="25"/>
      <c r="H52" s="22"/>
      <c r="I52" s="31"/>
      <c r="J52" s="31"/>
      <c r="K52" s="33"/>
      <c r="L52" s="33"/>
      <c r="M52" s="33"/>
      <c r="N52" s="33"/>
      <c r="O52" s="49" t="s">
        <v>60</v>
      </c>
      <c r="P52" s="34"/>
      <c r="Q52" s="8"/>
      <c r="R52" s="47">
        <f>MIN(R42:R51)</f>
        <v>118.9915623186674</v>
      </c>
    </row>
    <row r="53" spans="1:18" ht="21.75" customHeight="1">
      <c r="A53" s="41" t="s">
        <v>58</v>
      </c>
      <c r="B53" s="22"/>
      <c r="C53" s="42"/>
      <c r="D53" s="42"/>
      <c r="E53" s="25"/>
      <c r="F53" s="22"/>
      <c r="G53" s="25"/>
      <c r="H53" s="22"/>
      <c r="I53" s="31"/>
      <c r="J53" s="31"/>
      <c r="K53" s="33"/>
      <c r="L53" s="33"/>
      <c r="M53" s="33"/>
      <c r="N53" s="33"/>
      <c r="O53" s="33"/>
      <c r="P53" s="34"/>
      <c r="Q53" s="35"/>
      <c r="R53" s="43"/>
    </row>
    <row r="54" spans="1:18" ht="12.75">
      <c r="A54" s="4" t="s">
        <v>15</v>
      </c>
      <c r="B54" s="23">
        <v>42</v>
      </c>
      <c r="C54" s="6">
        <v>1.5</v>
      </c>
      <c r="D54" s="27">
        <f>D$7</f>
        <v>372</v>
      </c>
      <c r="E54" s="50">
        <v>0.038</v>
      </c>
      <c r="F54" s="23">
        <v>20</v>
      </c>
      <c r="G54" s="6">
        <v>77</v>
      </c>
      <c r="H54" s="48" t="str">
        <f>IF(R54=R$59,"OPTIMÁLNÍ","----")</f>
        <v>----</v>
      </c>
      <c r="I54" s="37">
        <f>G54/((3.14*(B54+2*F54)^2/4-3.14*B54^2/4)/1000000)</f>
        <v>19776.042736798845</v>
      </c>
      <c r="J54" s="38">
        <f>PI()/((1/(2*D54)*LN(B54/(B54-2*C54)))+(1/('Zadání parametrů'!D$14*(B54)/1000)))*('Zadání parametrů'!D$16-'Zadání parametrů'!D$9)</f>
        <v>46.57930242087493</v>
      </c>
      <c r="K54" s="39">
        <f>J54/1000*24*'Zadání parametrů'!$D$6</f>
        <v>244.82081352411862</v>
      </c>
      <c r="L54" s="39">
        <f>K54*'Zadání parametrů'!$D$18</f>
        <v>352.5429585950152</v>
      </c>
      <c r="M54" s="38">
        <f>PI()/((1/(2*D54)*LN(B54/(B54-2*C54)))+(1/(2*E54)*LN((B54+2*F54)/B54))+(1/('Zadání parametrů'!D$14*(B54+2*F54)/1000)))*('Zadání parametrů'!D$16-'Zadání parametrů'!D$9)</f>
        <v>11.065438201147458</v>
      </c>
      <c r="N54" s="39">
        <f>M54/1000*24*'Zadání parametrů'!$D$6</f>
        <v>58.15994318523104</v>
      </c>
      <c r="O54" s="39">
        <f>N54*'Zadání parametrů'!$D$18</f>
        <v>83.75055268828031</v>
      </c>
      <c r="P54" s="40">
        <f>L54-O54</f>
        <v>268.79240590673487</v>
      </c>
      <c r="Q54" s="8">
        <f>G54/P54*365</f>
        <v>104.56024568548199</v>
      </c>
      <c r="R54" s="45">
        <f>(O54*'Zadání parametrů'!$D$4)+G54</f>
        <v>160.75055268828032</v>
      </c>
    </row>
    <row r="55" spans="1:18" ht="12.75">
      <c r="A55" s="4" t="s">
        <v>15</v>
      </c>
      <c r="B55" s="24">
        <f aca="true" t="shared" si="10" ref="B55:C58">B$54</f>
        <v>42</v>
      </c>
      <c r="C55" s="61">
        <f t="shared" si="10"/>
        <v>1.5</v>
      </c>
      <c r="D55" s="27">
        <f>D$7</f>
        <v>372</v>
      </c>
      <c r="E55" s="27">
        <f>E54</f>
        <v>0.038</v>
      </c>
      <c r="F55" s="23">
        <v>25</v>
      </c>
      <c r="G55" s="6">
        <v>83</v>
      </c>
      <c r="H55" s="48" t="str">
        <f>IF(R55=R$59,"OPTIMÁLNÍ","----")</f>
        <v>----</v>
      </c>
      <c r="I55" s="37">
        <f>G55/((3.14*(B55+2*F55)^2/4-3.14*B55^2/4)/1000000)</f>
        <v>15780.967772601954</v>
      </c>
      <c r="J55" s="38">
        <f>PI()/((1/(2*D55)*LN(B55/(B55-2*C55)))+(1/('Zadání parametrů'!D$14*(B55)/1000)))*('Zadání parametrů'!D$16-'Zadání parametrů'!D$9)</f>
        <v>46.57930242087493</v>
      </c>
      <c r="K55" s="39">
        <f>J55/1000*24*'Zadání parametrů'!$D$6</f>
        <v>244.82081352411862</v>
      </c>
      <c r="L55" s="39">
        <f>K55*'Zadání parametrů'!$D$18</f>
        <v>352.5429585950152</v>
      </c>
      <c r="M55" s="38">
        <f>PI()/((1/(2*D55)*LN(B55/(B55-2*C55)))+(1/(2*E55)*LN((B55+2*F55)/B55))+(1/('Zadání parametrů'!D$14*(B55+2*F55)/1000)))*('Zadání parametrů'!D$16-'Zadání parametrů'!D$9)</f>
        <v>9.724986420593186</v>
      </c>
      <c r="N55" s="39">
        <f>M55/1000*24*'Zadání parametrů'!$D$6</f>
        <v>51.11452862663779</v>
      </c>
      <c r="O55" s="39">
        <f>N55*'Zadání parametrů'!$D$18</f>
        <v>73.60512731671498</v>
      </c>
      <c r="P55" s="40">
        <f>L55-O55</f>
        <v>278.9378312783002</v>
      </c>
      <c r="Q55" s="8">
        <f>G55/P55*365</f>
        <v>108.60843027697541</v>
      </c>
      <c r="R55" s="45">
        <f>(O55*'Zadání parametrů'!$D$4)+G55</f>
        <v>156.60512731671497</v>
      </c>
    </row>
    <row r="56" spans="1:18" ht="12.75">
      <c r="A56" s="4" t="s">
        <v>15</v>
      </c>
      <c r="B56" s="24">
        <f t="shared" si="10"/>
        <v>42</v>
      </c>
      <c r="C56" s="61">
        <f t="shared" si="10"/>
        <v>1.5</v>
      </c>
      <c r="D56" s="27">
        <f>D$7</f>
        <v>372</v>
      </c>
      <c r="E56" s="27">
        <f>E55</f>
        <v>0.038</v>
      </c>
      <c r="F56" s="23">
        <v>30</v>
      </c>
      <c r="G56" s="6">
        <v>89</v>
      </c>
      <c r="H56" s="48" t="str">
        <f>IF(R56=R$59,"OPTIMÁLNÍ","----")</f>
        <v>OPTIMÁLNÍ</v>
      </c>
      <c r="I56" s="37">
        <f>G56/((3.14*(B56+2*F56)^2/4-3.14*B56^2/4)/1000000)</f>
        <v>13122.19863175277</v>
      </c>
      <c r="J56" s="38">
        <f>PI()/((1/(2*D56)*LN(B56/(B56-2*C56)))+(1/('Zadání parametrů'!D$14*(B56)/1000)))*('Zadání parametrů'!D$16-'Zadání parametrů'!D$9)</f>
        <v>46.57930242087493</v>
      </c>
      <c r="K56" s="39">
        <f>J56/1000*24*'Zadání parametrů'!$D$6</f>
        <v>244.82081352411862</v>
      </c>
      <c r="L56" s="39">
        <f>K56*'Zadání parametrů'!$D$18</f>
        <v>352.5429585950152</v>
      </c>
      <c r="M56" s="38">
        <f>PI()/((1/(2*D56)*LN(B56/(B56-2*C56)))+(1/(2*E56)*LN((B56+2*F56)/B56))+(1/('Zadání parametrů'!D$14*(B56+2*F56)/1000)))*('Zadání parametrů'!D$16-'Zadání parametrů'!D$9)</f>
        <v>8.7635766589178</v>
      </c>
      <c r="N56" s="39">
        <f>M56/1000*24*'Zadání parametrů'!$D$6</f>
        <v>46.06135891927196</v>
      </c>
      <c r="O56" s="39">
        <f>N56*'Zadání parametrů'!$D$18</f>
        <v>66.32854256367087</v>
      </c>
      <c r="P56" s="40">
        <f>L56-O56</f>
        <v>286.21441603134434</v>
      </c>
      <c r="Q56" s="8">
        <f>G56/P56*365</f>
        <v>113.49882528783056</v>
      </c>
      <c r="R56" s="45">
        <f>(O56*'Zadání parametrů'!$D$4)+G56</f>
        <v>155.32854256367085</v>
      </c>
    </row>
    <row r="57" spans="1:18" ht="12.75">
      <c r="A57" s="4" t="s">
        <v>15</v>
      </c>
      <c r="B57" s="24">
        <f t="shared" si="10"/>
        <v>42</v>
      </c>
      <c r="C57" s="61">
        <f t="shared" si="10"/>
        <v>1.5</v>
      </c>
      <c r="D57" s="27">
        <f>D$7</f>
        <v>372</v>
      </c>
      <c r="E57" s="27">
        <f>E56</f>
        <v>0.038</v>
      </c>
      <c r="F57" s="23">
        <v>40</v>
      </c>
      <c r="G57" s="6">
        <v>102</v>
      </c>
      <c r="H57" s="48" t="str">
        <f>IF(R57=R$59,"OPTIMÁLNÍ","----")</f>
        <v>----</v>
      </c>
      <c r="I57" s="37">
        <f>G57/((3.14*(B57+2*F57)^2/4-3.14*B57^2/4)/1000000)</f>
        <v>9903.681839366163</v>
      </c>
      <c r="J57" s="38">
        <f>PI()/((1/(2*D57)*LN(B57/(B57-2*C57)))+(1/('Zadání parametrů'!D$14*(B57)/1000)))*('Zadání parametrů'!D$16-'Zadání parametrů'!D$9)</f>
        <v>46.57930242087493</v>
      </c>
      <c r="K57" s="39">
        <f>J57/1000*24*'Zadání parametrů'!$D$6</f>
        <v>244.82081352411862</v>
      </c>
      <c r="L57" s="39">
        <f>K57*'Zadání parametrů'!$D$18</f>
        <v>352.5429585950152</v>
      </c>
      <c r="M57" s="38">
        <f>PI()/((1/(2*D57)*LN(B57/(B57-2*C57)))+(1/(2*E57)*LN((B57+2*F57)/B57))+(1/('Zadání parametrů'!D$14*(B57+2*F57)/1000)))*('Zadání parametrů'!D$16-'Zadání parametrů'!D$9)</f>
        <v>7.468176874810533</v>
      </c>
      <c r="N57" s="39">
        <f>M57/1000*24*'Zadání parametrů'!$D$6</f>
        <v>39.252737654004164</v>
      </c>
      <c r="O57" s="39">
        <f>N57*'Zadání parametrů'!$D$18</f>
        <v>56.524100489247424</v>
      </c>
      <c r="P57" s="40">
        <f>L57-O57</f>
        <v>296.0188581057678</v>
      </c>
      <c r="Q57" s="8">
        <f>G57/P57*365</f>
        <v>125.7690143061686</v>
      </c>
      <c r="R57" s="45">
        <f>(O57*'Zadání parametrů'!$D$4)+G57</f>
        <v>158.52410048924742</v>
      </c>
    </row>
    <row r="58" spans="1:18" ht="12.75">
      <c r="A58" s="4" t="s">
        <v>15</v>
      </c>
      <c r="B58" s="24">
        <f t="shared" si="10"/>
        <v>42</v>
      </c>
      <c r="C58" s="61">
        <f t="shared" si="10"/>
        <v>1.5</v>
      </c>
      <c r="D58" s="27">
        <f>D$7</f>
        <v>372</v>
      </c>
      <c r="E58" s="27">
        <f>E57</f>
        <v>0.038</v>
      </c>
      <c r="F58" s="23">
        <v>50</v>
      </c>
      <c r="G58" s="6">
        <v>115</v>
      </c>
      <c r="H58" s="48" t="str">
        <f>IF(R58=R$59,"OPTIMÁLNÍ","----")</f>
        <v>----</v>
      </c>
      <c r="I58" s="37">
        <f>G58/((3.14*(B58+2*F58)^2/4-3.14*B58^2/4)/1000000)</f>
        <v>7961.783439490446</v>
      </c>
      <c r="J58" s="38">
        <f>PI()/((1/(2*D58)*LN(B58/(B58-2*C58)))+(1/('Zadání parametrů'!D$14*(B58)/1000)))*('Zadání parametrů'!D$16-'Zadání parametrů'!D$9)</f>
        <v>46.57930242087493</v>
      </c>
      <c r="K58" s="39">
        <f>J58/1000*24*'Zadání parametrů'!$D$6</f>
        <v>244.82081352411862</v>
      </c>
      <c r="L58" s="39">
        <f>K58*'Zadání parametrů'!$D$18</f>
        <v>352.5429585950152</v>
      </c>
      <c r="M58" s="38">
        <f>PI()/((1/(2*D58)*LN(B58/(B58-2*C58)))+(1/(2*E58)*LN((B58+2*F58)/B58))+(1/('Zadání parametrů'!D$14*(B58+2*F58)/1000)))*('Zadání parametrů'!D$16-'Zadání parametrů'!D$9)</f>
        <v>6.628198616861616</v>
      </c>
      <c r="N58" s="39">
        <f>M58/1000*24*'Zadání parametrů'!$D$6</f>
        <v>34.83781193022466</v>
      </c>
      <c r="O58" s="39">
        <f>N58*'Zadání parametrů'!$D$18</f>
        <v>50.16658964597457</v>
      </c>
      <c r="P58" s="40">
        <f>L58-O58</f>
        <v>302.3763689490406</v>
      </c>
      <c r="Q58" s="8">
        <f>G58/P58*365</f>
        <v>138.81706479210362</v>
      </c>
      <c r="R58" s="45">
        <f>(O58*'Zadání parametrů'!$D$4)+G58</f>
        <v>165.16658964597457</v>
      </c>
    </row>
    <row r="59" spans="1:18" ht="15.75" customHeight="1">
      <c r="A59" s="42"/>
      <c r="B59" s="22"/>
      <c r="C59" s="25"/>
      <c r="D59" s="25"/>
      <c r="E59" s="25"/>
      <c r="F59" s="22"/>
      <c r="G59" s="25"/>
      <c r="H59" s="22"/>
      <c r="I59" s="31"/>
      <c r="J59" s="31"/>
      <c r="K59" s="33"/>
      <c r="L59" s="33"/>
      <c r="M59" s="33"/>
      <c r="N59" s="33"/>
      <c r="O59" s="49" t="s">
        <v>60</v>
      </c>
      <c r="P59" s="34"/>
      <c r="Q59" s="8"/>
      <c r="R59" s="47">
        <f>MIN(R54:R58)</f>
        <v>155.32854256367085</v>
      </c>
    </row>
    <row r="60" spans="1:18" ht="21.75" customHeight="1">
      <c r="A60" s="41" t="s">
        <v>59</v>
      </c>
      <c r="B60" s="22"/>
      <c r="C60" s="42"/>
      <c r="D60" s="42"/>
      <c r="E60" s="25"/>
      <c r="F60" s="22"/>
      <c r="G60" s="25"/>
      <c r="H60" s="22"/>
      <c r="I60" s="31"/>
      <c r="J60" s="31"/>
      <c r="K60" s="33"/>
      <c r="L60" s="33"/>
      <c r="M60" s="33"/>
      <c r="N60" s="33"/>
      <c r="O60" s="33"/>
      <c r="P60" s="34"/>
      <c r="Q60" s="35"/>
      <c r="R60" s="43"/>
    </row>
    <row r="61" spans="1:18" ht="12.75">
      <c r="A61" s="4" t="s">
        <v>6</v>
      </c>
      <c r="B61" s="23">
        <v>54</v>
      </c>
      <c r="C61" s="6">
        <v>1.5</v>
      </c>
      <c r="D61" s="27">
        <f>D$7</f>
        <v>372</v>
      </c>
      <c r="E61" s="50">
        <v>0.038</v>
      </c>
      <c r="F61" s="23">
        <v>20</v>
      </c>
      <c r="G61" s="6">
        <v>85</v>
      </c>
      <c r="H61" s="48" t="str">
        <f aca="true" t="shared" si="11" ref="H61:H66">IF(R61=R$67,"OPTIMÁLNÍ","----")</f>
        <v>----</v>
      </c>
      <c r="I61" s="37">
        <f aca="true" t="shared" si="12" ref="I61:I66">G61/((3.14*(B61+2*F61)^2/4-3.14*B61^2/4)/1000000)</f>
        <v>18290.583577207777</v>
      </c>
      <c r="J61" s="38">
        <f>PI()/((1/(2*D61)*LN(B61/(B61-2*C61)))+(1/('Zadání parametrů'!D$14*(B61)/1000)))*('Zadání parametrů'!D$16-'Zadání parametrů'!D$9)</f>
        <v>59.88769545303581</v>
      </c>
      <c r="K61" s="39">
        <f>J61/1000*24*'Zadání parametrů'!$D$6</f>
        <v>314.76972730115625</v>
      </c>
      <c r="L61" s="39">
        <f>K61*'Zadání parametrů'!$D$18</f>
        <v>453.26967646875954</v>
      </c>
      <c r="M61" s="38">
        <f>PI()/((1/(2*D61)*LN(B61/(B61-2*C61)))+(1/(2*E61)*LN((B61+2*F61)/B61))+(1/('Zadání parametrů'!D$14*(B61+2*F61)/1000)))*('Zadání parametrů'!D$16-'Zadání parametrů'!D$9)</f>
        <v>13.270493931243482</v>
      </c>
      <c r="N61" s="39">
        <f>M61/1000*24*'Zadání parametrů'!$D$6</f>
        <v>69.74971610261575</v>
      </c>
      <c r="O61" s="39">
        <f>N61*'Zadání parametrů'!$D$18</f>
        <v>100.43987241940955</v>
      </c>
      <c r="P61" s="40">
        <f aca="true" t="shared" si="13" ref="P61:P66">L61-O61</f>
        <v>352.82980404935</v>
      </c>
      <c r="Q61" s="8">
        <f aca="true" t="shared" si="14" ref="Q61:Q66">G61/P61*365</f>
        <v>87.93191403881674</v>
      </c>
      <c r="R61" s="45">
        <f>(O61*'Zadání parametrů'!$D$4)+G61</f>
        <v>185.43987241940954</v>
      </c>
    </row>
    <row r="62" spans="1:18" ht="12.75">
      <c r="A62" s="4" t="s">
        <v>15</v>
      </c>
      <c r="B62" s="24">
        <f aca="true" t="shared" si="15" ref="B62:C66">B$61</f>
        <v>54</v>
      </c>
      <c r="C62" s="61">
        <f t="shared" si="15"/>
        <v>1.5</v>
      </c>
      <c r="D62" s="61">
        <f>D$61</f>
        <v>372</v>
      </c>
      <c r="E62" s="27">
        <f>E61</f>
        <v>0.038</v>
      </c>
      <c r="F62" s="23">
        <v>25</v>
      </c>
      <c r="G62" s="6">
        <v>95</v>
      </c>
      <c r="H62" s="48" t="str">
        <f t="shared" si="11"/>
        <v>----</v>
      </c>
      <c r="I62" s="37">
        <f t="shared" si="12"/>
        <v>15318.874465855035</v>
      </c>
      <c r="J62" s="38">
        <f>PI()/((1/(2*D62)*LN(B62/(B62-2*C62)))+(1/('Zadání parametrů'!D$14*(B62)/1000)))*('Zadání parametrů'!D$16-'Zadání parametrů'!D$9)</f>
        <v>59.88769545303581</v>
      </c>
      <c r="K62" s="39">
        <f>J62/1000*24*'Zadání parametrů'!$D$6</f>
        <v>314.76972730115625</v>
      </c>
      <c r="L62" s="39">
        <f>K62*'Zadání parametrů'!$D$18</f>
        <v>453.26967646875954</v>
      </c>
      <c r="M62" s="38">
        <f>PI()/((1/(2*D62)*LN(B62/(B62-2*C62)))+(1/(2*E62)*LN((B62+2*F62)/B62))+(1/('Zadání parametrů'!D$14*(B62+2*F62)/1000)))*('Zadání parametrů'!D$16-'Zadání parametrů'!D$9)</f>
        <v>11.57049890973061</v>
      </c>
      <c r="N62" s="39">
        <f>M62/1000*24*'Zadání parametrů'!$D$6</f>
        <v>60.81454226954409</v>
      </c>
      <c r="O62" s="39">
        <f>N62*'Zadání parametrů'!$D$18</f>
        <v>87.57318607306458</v>
      </c>
      <c r="P62" s="40">
        <f t="shared" si="13"/>
        <v>365.696490395695</v>
      </c>
      <c r="Q62" s="8">
        <f t="shared" si="14"/>
        <v>94.81906693302025</v>
      </c>
      <c r="R62" s="45">
        <f>(O62*'Zadání parametrů'!$D$4)+G62</f>
        <v>182.57318607306456</v>
      </c>
    </row>
    <row r="63" spans="1:18" ht="12.75">
      <c r="A63" s="4" t="s">
        <v>15</v>
      </c>
      <c r="B63" s="24">
        <f t="shared" si="15"/>
        <v>54</v>
      </c>
      <c r="C63" s="61">
        <f t="shared" si="15"/>
        <v>1.5</v>
      </c>
      <c r="D63" s="61">
        <f>D$61</f>
        <v>372</v>
      </c>
      <c r="E63" s="27">
        <f>E62</f>
        <v>0.038</v>
      </c>
      <c r="F63" s="23">
        <v>30</v>
      </c>
      <c r="G63" s="6">
        <v>98</v>
      </c>
      <c r="H63" s="48" t="str">
        <f t="shared" si="11"/>
        <v>OPTIMÁLNÍ</v>
      </c>
      <c r="I63" s="37">
        <f t="shared" si="12"/>
        <v>12384.99646142958</v>
      </c>
      <c r="J63" s="38">
        <f>PI()/((1/(2*D63)*LN(B63/(B63-2*C63)))+(1/('Zadání parametrů'!D$14*(B63)/1000)))*('Zadání parametrů'!D$16-'Zadání parametrů'!D$9)</f>
        <v>59.88769545303581</v>
      </c>
      <c r="K63" s="39">
        <f>J63/1000*24*'Zadání parametrů'!$D$6</f>
        <v>314.76972730115625</v>
      </c>
      <c r="L63" s="39">
        <f>K63*'Zadání parametrů'!$D$18</f>
        <v>453.26967646875954</v>
      </c>
      <c r="M63" s="38">
        <f>PI()/((1/(2*D63)*LN(B63/(B63-2*C63)))+(1/(2*E63)*LN((B63+2*F63)/B63))+(1/('Zadání parametrů'!D$14*(B63+2*F63)/1000)))*('Zadání parametrů'!D$16-'Zadání parametrů'!D$9)</f>
        <v>10.35646133900805</v>
      </c>
      <c r="N63" s="39">
        <f>M63/1000*24*'Zadání parametrů'!$D$6</f>
        <v>54.43356079782631</v>
      </c>
      <c r="O63" s="39">
        <f>N63*'Zadání parametrů'!$D$18</f>
        <v>78.38454702560163</v>
      </c>
      <c r="P63" s="40">
        <f t="shared" si="13"/>
        <v>374.8851294431579</v>
      </c>
      <c r="Q63" s="8">
        <f t="shared" si="14"/>
        <v>95.41589460518635</v>
      </c>
      <c r="R63" s="45">
        <f>(O63*'Zadání parametrů'!$D$4)+G63</f>
        <v>176.38454702560165</v>
      </c>
    </row>
    <row r="64" spans="1:18" ht="12.75">
      <c r="A64" s="4" t="s">
        <v>15</v>
      </c>
      <c r="B64" s="24">
        <f t="shared" si="15"/>
        <v>54</v>
      </c>
      <c r="C64" s="61">
        <f t="shared" si="15"/>
        <v>1.5</v>
      </c>
      <c r="D64" s="61">
        <f>D$61</f>
        <v>372</v>
      </c>
      <c r="E64" s="27">
        <f>E63</f>
        <v>0.038</v>
      </c>
      <c r="F64" s="23">
        <v>40</v>
      </c>
      <c r="G64" s="6">
        <v>112</v>
      </c>
      <c r="H64" s="48" t="str">
        <f t="shared" si="11"/>
        <v>----</v>
      </c>
      <c r="I64" s="37">
        <f t="shared" si="12"/>
        <v>9486.380268329041</v>
      </c>
      <c r="J64" s="38">
        <f>PI()/((1/(2*D64)*LN(B64/(B64-2*C64)))+(1/('Zadání parametrů'!D$14*(B64)/1000)))*('Zadání parametrů'!D$16-'Zadání parametrů'!D$9)</f>
        <v>59.88769545303581</v>
      </c>
      <c r="K64" s="39">
        <f>J64/1000*24*'Zadání parametrů'!$D$6</f>
        <v>314.76972730115625</v>
      </c>
      <c r="L64" s="39">
        <f>K64*'Zadání parametrů'!$D$18</f>
        <v>453.26967646875954</v>
      </c>
      <c r="M64" s="38">
        <f>PI()/((1/(2*D64)*LN(B64/(B64-2*C64)))+(1/(2*E64)*LN((B64+2*F64)/B64))+(1/('Zadání parametrů'!D$14*(B64+2*F64)/1000)))*('Zadání parametrů'!D$16-'Zadání parametrů'!D$9)</f>
        <v>8.729474161116064</v>
      </c>
      <c r="N64" s="39">
        <f>M64/1000*24*'Zadání parametrů'!$D$6</f>
        <v>45.88211619082603</v>
      </c>
      <c r="O64" s="39">
        <f>N64*'Zadání parametrů'!$D$18</f>
        <v>66.07043231200002</v>
      </c>
      <c r="P64" s="40">
        <f t="shared" si="13"/>
        <v>387.1992441567595</v>
      </c>
      <c r="Q64" s="8">
        <f t="shared" si="14"/>
        <v>105.57871849421672</v>
      </c>
      <c r="R64" s="45">
        <f>(O64*'Zadání parametrů'!$D$4)+G64</f>
        <v>178.07043231200004</v>
      </c>
    </row>
    <row r="65" spans="1:18" ht="12.75">
      <c r="A65" s="4" t="s">
        <v>15</v>
      </c>
      <c r="B65" s="24">
        <f t="shared" si="15"/>
        <v>54</v>
      </c>
      <c r="C65" s="61">
        <f t="shared" si="15"/>
        <v>1.5</v>
      </c>
      <c r="D65" s="61">
        <f>D$61</f>
        <v>372</v>
      </c>
      <c r="E65" s="27">
        <f>E64</f>
        <v>0.038</v>
      </c>
      <c r="F65" s="23">
        <v>50</v>
      </c>
      <c r="G65" s="6">
        <v>128</v>
      </c>
      <c r="H65" s="48" t="str">
        <f t="shared" si="11"/>
        <v>----</v>
      </c>
      <c r="I65" s="37">
        <f t="shared" si="12"/>
        <v>7839.294463498284</v>
      </c>
      <c r="J65" s="38">
        <f>PI()/((1/(2*D65)*LN(B65/(B65-2*C65)))+(1/('Zadání parametrů'!D$14*(B65)/1000)))*('Zadání parametrů'!D$16-'Zadání parametrů'!D$9)</f>
        <v>59.88769545303581</v>
      </c>
      <c r="K65" s="39">
        <f>J65/1000*24*'Zadání parametrů'!$D$6</f>
        <v>314.76972730115625</v>
      </c>
      <c r="L65" s="39">
        <f>K65*'Zadání parametrů'!$D$18</f>
        <v>453.26967646875954</v>
      </c>
      <c r="M65" s="38">
        <f>PI()/((1/(2*D65)*LN(B65/(B65-2*C65)))+(1/(2*E65)*LN((B65+2*F65)/B65))+(1/('Zadání parametrů'!D$14*(B65+2*F65)/1000)))*('Zadání parametrů'!D$16-'Zadání parametrů'!D$9)</f>
        <v>7.681396078339435</v>
      </c>
      <c r="N65" s="39">
        <f>M65/1000*24*'Zadání parametrů'!$D$6</f>
        <v>40.37341778775207</v>
      </c>
      <c r="O65" s="39">
        <f>N65*'Zadání parametrů'!$D$18</f>
        <v>58.137884400439354</v>
      </c>
      <c r="P65" s="40">
        <f t="shared" si="13"/>
        <v>395.1317920683202</v>
      </c>
      <c r="Q65" s="8">
        <f t="shared" si="14"/>
        <v>118.23903046485789</v>
      </c>
      <c r="R65" s="45">
        <f>(O65*'Zadání parametrů'!$D$4)+G65</f>
        <v>186.13788440043936</v>
      </c>
    </row>
    <row r="66" spans="1:18" ht="12.75">
      <c r="A66" s="4" t="s">
        <v>15</v>
      </c>
      <c r="B66" s="24">
        <f t="shared" si="15"/>
        <v>54</v>
      </c>
      <c r="C66" s="61">
        <f t="shared" si="15"/>
        <v>1.5</v>
      </c>
      <c r="D66" s="61">
        <f>D$61</f>
        <v>372</v>
      </c>
      <c r="E66" s="27">
        <f>E65</f>
        <v>0.038</v>
      </c>
      <c r="F66" s="23">
        <v>60</v>
      </c>
      <c r="G66" s="6">
        <v>169</v>
      </c>
      <c r="H66" s="48" t="str">
        <f t="shared" si="11"/>
        <v>----</v>
      </c>
      <c r="I66" s="37">
        <f t="shared" si="12"/>
        <v>7868.663165344359</v>
      </c>
      <c r="J66" s="38">
        <f>PI()/((1/(2*D66)*LN(B66/(B66-2*C66)))+(1/('Zadání parametrů'!D$14*(B66)/1000)))*('Zadání parametrů'!D$16-'Zadání parametrů'!D$9)</f>
        <v>59.88769545303581</v>
      </c>
      <c r="K66" s="39">
        <f>J66/1000*24*'Zadání parametrů'!$D$6</f>
        <v>314.76972730115625</v>
      </c>
      <c r="L66" s="39">
        <f>K66*'Zadání parametrů'!$D$18</f>
        <v>453.26967646875954</v>
      </c>
      <c r="M66" s="38">
        <f>PI()/((1/(2*D66)*LN(B66/(B66-2*C66)))+(1/(2*E66)*LN((B66+2*F66)/B66))+(1/('Zadání parametrů'!D$14*(B66+2*F66)/1000)))*('Zadání parametrů'!D$16-'Zadání parametrů'!D$9)</f>
        <v>6.944553502990517</v>
      </c>
      <c r="N66" s="39">
        <f>M66/1000*24*'Zadání parametrů'!$D$6</f>
        <v>36.500573211718155</v>
      </c>
      <c r="O66" s="39">
        <f>N66*'Zadání parametrů'!$D$18</f>
        <v>52.56097259559746</v>
      </c>
      <c r="P66" s="40">
        <f t="shared" si="13"/>
        <v>400.7087038731621</v>
      </c>
      <c r="Q66" s="8">
        <f t="shared" si="14"/>
        <v>153.9397557471709</v>
      </c>
      <c r="R66" s="45">
        <f>(O66*'Zadání parametrů'!$D$4)+G66</f>
        <v>221.56097259559746</v>
      </c>
    </row>
    <row r="67" spans="1:18" ht="15.75" customHeight="1">
      <c r="A67" s="42"/>
      <c r="B67" s="22"/>
      <c r="C67" s="25"/>
      <c r="D67" s="25"/>
      <c r="E67" s="25"/>
      <c r="F67" s="22"/>
      <c r="G67" s="25"/>
      <c r="H67" s="22"/>
      <c r="I67" s="31"/>
      <c r="J67" s="32"/>
      <c r="K67" s="33"/>
      <c r="L67" s="33"/>
      <c r="M67" s="32"/>
      <c r="N67" s="33"/>
      <c r="O67" s="49" t="s">
        <v>60</v>
      </c>
      <c r="P67" s="34"/>
      <c r="Q67" s="8"/>
      <c r="R67" s="47">
        <f>MIN(R61:R66)</f>
        <v>176.38454702560165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J7" sqref="J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7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92" t="s">
        <v>80</v>
      </c>
      <c r="B1" s="93"/>
      <c r="C1" s="94"/>
      <c r="D1" s="94"/>
      <c r="E1" s="95"/>
      <c r="F1" s="96"/>
    </row>
    <row r="2" ht="20.25">
      <c r="A2" s="97"/>
    </row>
    <row r="3" spans="1:18" ht="15.75" customHeight="1">
      <c r="A3" s="98" t="s">
        <v>82</v>
      </c>
      <c r="B3" s="51" t="s">
        <v>2</v>
      </c>
      <c r="C3" s="51" t="s">
        <v>17</v>
      </c>
      <c r="D3" s="51" t="s">
        <v>11</v>
      </c>
      <c r="E3" s="51" t="s">
        <v>11</v>
      </c>
      <c r="F3" s="51" t="s">
        <v>17</v>
      </c>
      <c r="G3" s="51" t="s">
        <v>5</v>
      </c>
      <c r="H3" s="51"/>
      <c r="I3" s="72" t="s">
        <v>32</v>
      </c>
      <c r="J3" s="51" t="s">
        <v>95</v>
      </c>
      <c r="K3" s="72" t="s">
        <v>96</v>
      </c>
      <c r="L3" s="72" t="s">
        <v>36</v>
      </c>
      <c r="M3" s="51" t="s">
        <v>95</v>
      </c>
      <c r="N3" s="72" t="s">
        <v>96</v>
      </c>
      <c r="O3" s="72" t="s">
        <v>36</v>
      </c>
      <c r="P3" s="72" t="s">
        <v>12</v>
      </c>
      <c r="Q3" s="51" t="s">
        <v>13</v>
      </c>
      <c r="R3" s="51" t="s">
        <v>27</v>
      </c>
    </row>
    <row r="4" spans="1:18" ht="15.75" customHeight="1">
      <c r="A4" s="98" t="s">
        <v>83</v>
      </c>
      <c r="B4" s="51" t="s">
        <v>16</v>
      </c>
      <c r="C4" s="51" t="s">
        <v>26</v>
      </c>
      <c r="D4" s="51" t="s">
        <v>16</v>
      </c>
      <c r="E4" s="51" t="s">
        <v>18</v>
      </c>
      <c r="F4" s="51" t="s">
        <v>18</v>
      </c>
      <c r="G4" s="51" t="s">
        <v>18</v>
      </c>
      <c r="H4" s="51"/>
      <c r="I4" s="72" t="s">
        <v>33</v>
      </c>
      <c r="J4" s="51" t="s">
        <v>19</v>
      </c>
      <c r="K4" s="72" t="s">
        <v>19</v>
      </c>
      <c r="L4" s="72" t="s">
        <v>19</v>
      </c>
      <c r="M4" s="51" t="s">
        <v>20</v>
      </c>
      <c r="N4" s="72" t="s">
        <v>20</v>
      </c>
      <c r="O4" s="72" t="s">
        <v>20</v>
      </c>
      <c r="P4" s="72" t="s">
        <v>24</v>
      </c>
      <c r="Q4" s="51" t="s">
        <v>18</v>
      </c>
      <c r="R4" s="51" t="s">
        <v>37</v>
      </c>
    </row>
    <row r="5" spans="1:18" ht="15.75" customHeight="1">
      <c r="A5" s="98" t="s">
        <v>84</v>
      </c>
      <c r="B5" s="51" t="s">
        <v>3</v>
      </c>
      <c r="C5" s="51" t="s">
        <v>3</v>
      </c>
      <c r="D5" s="51" t="s">
        <v>10</v>
      </c>
      <c r="E5" s="51" t="s">
        <v>10</v>
      </c>
      <c r="F5" s="74" t="s">
        <v>3</v>
      </c>
      <c r="G5" s="51" t="s">
        <v>4</v>
      </c>
      <c r="H5" s="51"/>
      <c r="I5" s="72" t="s">
        <v>0</v>
      </c>
      <c r="J5" s="51" t="s">
        <v>9</v>
      </c>
      <c r="K5" s="72" t="s">
        <v>30</v>
      </c>
      <c r="L5" s="72" t="s">
        <v>31</v>
      </c>
      <c r="M5" s="51" t="s">
        <v>9</v>
      </c>
      <c r="N5" s="72" t="s">
        <v>30</v>
      </c>
      <c r="O5" s="72" t="s">
        <v>31</v>
      </c>
      <c r="P5" s="72" t="s">
        <v>31</v>
      </c>
      <c r="Q5" s="73" t="s">
        <v>14</v>
      </c>
      <c r="R5" s="72" t="s">
        <v>4</v>
      </c>
    </row>
    <row r="6" spans="1:18" ht="21.75" customHeight="1">
      <c r="A6" s="5" t="s">
        <v>73</v>
      </c>
      <c r="B6" s="22"/>
      <c r="C6" s="26"/>
      <c r="D6" s="26"/>
      <c r="E6" s="21"/>
      <c r="F6" s="28"/>
      <c r="G6" s="21"/>
      <c r="H6" s="21"/>
      <c r="I6" s="31"/>
      <c r="J6" s="32"/>
      <c r="K6" s="33"/>
      <c r="L6" s="33"/>
      <c r="M6" s="32"/>
      <c r="N6" s="33"/>
      <c r="O6" s="33"/>
      <c r="P6" s="34"/>
      <c r="Q6" s="35"/>
      <c r="R6" s="36"/>
    </row>
    <row r="7" spans="1:18" ht="15.75" customHeight="1">
      <c r="A7" s="4" t="s">
        <v>6</v>
      </c>
      <c r="B7" s="23">
        <v>16</v>
      </c>
      <c r="C7" s="6">
        <v>2.2</v>
      </c>
      <c r="D7" s="6">
        <v>0.35</v>
      </c>
      <c r="E7" s="6">
        <v>0.044</v>
      </c>
      <c r="F7" s="23">
        <v>6</v>
      </c>
      <c r="G7" s="6">
        <v>3.8</v>
      </c>
      <c r="H7" s="48" t="str">
        <f>IF(R7=R$12,"OPTIMÁLNÍ","----")</f>
        <v>----</v>
      </c>
      <c r="I7" s="37">
        <f>G7/((3.14*(B7+2*F7)^2/4-3.14*B7^2/4)/1000000)</f>
        <v>9168.114263655665</v>
      </c>
      <c r="J7" s="38">
        <f>PI()/((1/(2*D7)*LN(B7/(B7-2*C7)))+(1/('Zadání parametrů'!D$14*(B7)/1000)))*('Zadání parametrů'!D$16-'Zadání parametrů'!D$9)</f>
        <v>16.530189743836125</v>
      </c>
      <c r="K7" s="39">
        <f>J7/1000*24*'Zadání parametrů'!$D$6</f>
        <v>86.88267729360267</v>
      </c>
      <c r="L7" s="39">
        <f>K7*'Zadání parametrů'!$D$18</f>
        <v>125.11140561472368</v>
      </c>
      <c r="M7" s="38">
        <f>PI()/((1/(2*D7)*LN(B7/(B7-2*C7)))+(1/(2*E7)*LN((B7+2*F7)/B7))+(1/('Zadání parametrů'!D$14*(B7+2*F7)/1000)))*('Zadání parametrů'!D$16-'Zadání parametrů'!D$9)</f>
        <v>10.674362830516325</v>
      </c>
      <c r="N7" s="39">
        <f>M7/1000*24*'Zadání parametrů'!$D$6</f>
        <v>56.104451037193805</v>
      </c>
      <c r="O7" s="39">
        <f>N7*'Zadání parametrů'!$D$18</f>
        <v>80.79063570733913</v>
      </c>
      <c r="P7" s="40">
        <f>L7-O7</f>
        <v>44.320769907384545</v>
      </c>
      <c r="Q7" s="8">
        <f>G7/P7*365</f>
        <v>31.29458271817845</v>
      </c>
      <c r="R7" s="45">
        <f>(O7*'Zadání parametrů'!$D$4)+G7</f>
        <v>84.59063570733913</v>
      </c>
    </row>
    <row r="8" spans="1:18" ht="15.75" customHeight="1">
      <c r="A8" s="4" t="s">
        <v>6</v>
      </c>
      <c r="B8" s="24">
        <f aca="true" t="shared" si="0" ref="B8:D11">B$7</f>
        <v>16</v>
      </c>
      <c r="C8" s="27">
        <f t="shared" si="0"/>
        <v>2.2</v>
      </c>
      <c r="D8" s="27">
        <f t="shared" si="0"/>
        <v>0.35</v>
      </c>
      <c r="E8" s="27">
        <f>E7</f>
        <v>0.044</v>
      </c>
      <c r="F8" s="23">
        <v>9</v>
      </c>
      <c r="G8" s="6">
        <v>6.7</v>
      </c>
      <c r="H8" s="48" t="str">
        <f>IF(R8=R$12,"OPTIMÁLNÍ","----")</f>
        <v>----</v>
      </c>
      <c r="I8" s="37">
        <f>G8/((3.14*(B8+2*F8)^2/4-3.14*B8^2/4)/1000000)</f>
        <v>9483.36871903751</v>
      </c>
      <c r="J8" s="38">
        <f>PI()/((1/(2*D8)*LN(B8/(B8-2*C8)))+(1/('Zadání parametrů'!D$14*(B8)/1000)))*('Zadání parametrů'!D$16-'Zadání parametrů'!D$9)</f>
        <v>16.530189743836125</v>
      </c>
      <c r="K8" s="39">
        <f>J8/1000*24*'Zadání parametrů'!$D$6</f>
        <v>86.88267729360267</v>
      </c>
      <c r="L8" s="39">
        <f>K8*'Zadání parametrů'!$D$18</f>
        <v>125.11140561472368</v>
      </c>
      <c r="M8" s="38">
        <f>PI()/((1/(2*D8)*LN(B8/(B8-2*C8)))+(1/(2*E8)*LN((B8+2*F8)/B8))+(1/('Zadání parametrů'!D$14*(B8+2*F8)/1000)))*('Zadání parametrů'!D$16-'Zadání parametrů'!D$9)</f>
        <v>9.268440759605372</v>
      </c>
      <c r="N8" s="39">
        <f>M8/1000*24*'Zadání parametrů'!$D$6</f>
        <v>48.71492463248583</v>
      </c>
      <c r="O8" s="39">
        <f>N8*'Zadání parametrů'!$D$18</f>
        <v>70.14968788990576</v>
      </c>
      <c r="P8" s="40">
        <f>L8-O8</f>
        <v>54.961717724817916</v>
      </c>
      <c r="Q8" s="8">
        <f>G8/P8*365</f>
        <v>44.49460645033182</v>
      </c>
      <c r="R8" s="45">
        <f>(O8*'Zadání parametrů'!$D$4)+G8</f>
        <v>76.84968788990577</v>
      </c>
    </row>
    <row r="9" spans="1:18" ht="15.75" customHeight="1">
      <c r="A9" s="12" t="s">
        <v>6</v>
      </c>
      <c r="B9" s="24">
        <f t="shared" si="0"/>
        <v>16</v>
      </c>
      <c r="C9" s="27">
        <f t="shared" si="0"/>
        <v>2.2</v>
      </c>
      <c r="D9" s="27">
        <f t="shared" si="0"/>
        <v>0.35</v>
      </c>
      <c r="E9" s="27">
        <f>E8</f>
        <v>0.044</v>
      </c>
      <c r="F9" s="29">
        <v>13</v>
      </c>
      <c r="G9" s="50">
        <v>12.5</v>
      </c>
      <c r="H9" s="48" t="str">
        <f>IF(R9=R$12,"OPTIMÁLNÍ","----")</f>
        <v>OPTIMÁLNÍ</v>
      </c>
      <c r="I9" s="37">
        <f>G9/((3.14*(B9+2*F9)^2/4-3.14*B9^2/4)/1000000)</f>
        <v>10559.39448208282</v>
      </c>
      <c r="J9" s="38">
        <f>PI()/((1/(2*D9)*LN(B9/(B9-2*C9)))+(1/('Zadání parametrů'!D$14*(B9)/1000)))*('Zadání parametrů'!D$16-'Zadání parametrů'!D$9)</f>
        <v>16.530189743836125</v>
      </c>
      <c r="K9" s="39">
        <f>J9/1000*24*'Zadání parametrů'!$D$6</f>
        <v>86.88267729360267</v>
      </c>
      <c r="L9" s="39">
        <f>K9*'Zadání parametrů'!$D$18</f>
        <v>125.11140561472368</v>
      </c>
      <c r="M9" s="38">
        <f>PI()/((1/(2*D9)*LN(B9/(B9-2*C9)))+(1/(2*E9)*LN((B9+2*F9)/B9))+(1/('Zadání parametrů'!D$14*(B9+2*F9)/1000)))*('Zadání parametrů'!D$16-'Zadání parametrů'!D$9)</f>
        <v>8.03261006788176</v>
      </c>
      <c r="N9" s="39">
        <f>M9/1000*24*'Zadání parametrů'!$D$6</f>
        <v>42.21939851678653</v>
      </c>
      <c r="O9" s="39">
        <f>N9*'Zadání parametrů'!$D$18</f>
        <v>60.79610409326413</v>
      </c>
      <c r="P9" s="40">
        <f>L9-O9</f>
        <v>64.31530152145956</v>
      </c>
      <c r="Q9" s="8">
        <f>G9/P9*365</f>
        <v>70.9395725755506</v>
      </c>
      <c r="R9" s="45">
        <f>(O9*'Zadání parametrů'!$D$4)+G9</f>
        <v>73.29610409326412</v>
      </c>
    </row>
    <row r="10" spans="1:18" ht="15.75" customHeight="1">
      <c r="A10" s="4" t="s">
        <v>6</v>
      </c>
      <c r="B10" s="24">
        <f t="shared" si="0"/>
        <v>16</v>
      </c>
      <c r="C10" s="27">
        <f t="shared" si="0"/>
        <v>2.2</v>
      </c>
      <c r="D10" s="27">
        <f t="shared" si="0"/>
        <v>0.35</v>
      </c>
      <c r="E10" s="27">
        <f>E9</f>
        <v>0.044</v>
      </c>
      <c r="F10" s="23">
        <v>20</v>
      </c>
      <c r="G10" s="50">
        <v>23.2</v>
      </c>
      <c r="H10" s="48" t="str">
        <f>IF(R10=R$12,"OPTIMÁLNÍ","----")</f>
        <v>----</v>
      </c>
      <c r="I10" s="37">
        <f>G10/((3.14*(B10+2*F10)^2/4-3.14*B10^2/4)/1000000)</f>
        <v>10261.854210898795</v>
      </c>
      <c r="J10" s="38">
        <f>PI()/((1/(2*D10)*LN(B10/(B10-2*C10)))+(1/('Zadání parametrů'!D$14*(B10)/1000)))*('Zadání parametrů'!D$16-'Zadání parametrů'!D$9)</f>
        <v>16.530189743836125</v>
      </c>
      <c r="K10" s="39">
        <f>J10/1000*24*'Zadání parametrů'!$D$6</f>
        <v>86.88267729360267</v>
      </c>
      <c r="L10" s="39">
        <f>K10*'Zadání parametrů'!$D$18</f>
        <v>125.11140561472368</v>
      </c>
      <c r="M10" s="38">
        <f>PI()/((1/(2*D10)*LN(B10/(B10-2*C10)))+(1/(2*E10)*LN((B10+2*F10)/B10))+(1/('Zadání parametrů'!D$14*(B10+2*F10)/1000)))*('Zadání parametrů'!D$16-'Zadání parametrů'!D$9)</f>
        <v>6.729404859900804</v>
      </c>
      <c r="N10" s="39">
        <f>M10/1000*24*'Zadání parametrů'!$D$6</f>
        <v>35.369751943638626</v>
      </c>
      <c r="O10" s="39">
        <f>N10*'Zadání parametrů'!$D$18</f>
        <v>50.932585410078815</v>
      </c>
      <c r="P10" s="40">
        <f>L10-O10</f>
        <v>74.17882020464486</v>
      </c>
      <c r="Q10" s="8">
        <f>G10/P10*365</f>
        <v>114.15657429760196</v>
      </c>
      <c r="R10" s="45">
        <f>(O10*'Zadání parametrů'!$D$4)+G10</f>
        <v>74.13258541007882</v>
      </c>
    </row>
    <row r="11" spans="1:18" ht="15.75" customHeight="1">
      <c r="A11" s="4" t="s">
        <v>6</v>
      </c>
      <c r="B11" s="24">
        <f t="shared" si="0"/>
        <v>16</v>
      </c>
      <c r="C11" s="27">
        <f t="shared" si="0"/>
        <v>2.2</v>
      </c>
      <c r="D11" s="27">
        <f t="shared" si="0"/>
        <v>0.35</v>
      </c>
      <c r="E11" s="27">
        <f>E10</f>
        <v>0.044</v>
      </c>
      <c r="F11" s="23">
        <v>25</v>
      </c>
      <c r="G11" s="50">
        <v>39</v>
      </c>
      <c r="H11" s="48" t="str">
        <f>IF(R11=R$12,"OPTIMÁLNÍ","----")</f>
        <v>----</v>
      </c>
      <c r="I11" s="37">
        <f>G11/((3.14*(B11+2*F11)^2/4-3.14*B11^2/4)/1000000)</f>
        <v>12117.446015224483</v>
      </c>
      <c r="J11" s="38">
        <f>PI()/((1/(2*D11)*LN(B11/(B11-2*C11)))+(1/('Zadání parametrů'!D$14*(B11)/1000)))*('Zadání parametrů'!D$16-'Zadání parametrů'!D$9)</f>
        <v>16.530189743836125</v>
      </c>
      <c r="K11" s="39">
        <f>J11/1000*24*'Zadání parametrů'!$D$6</f>
        <v>86.88267729360267</v>
      </c>
      <c r="L11" s="39">
        <f>K11*'Zadání parametrů'!$D$18</f>
        <v>125.11140561472368</v>
      </c>
      <c r="M11" s="38">
        <f>PI()/((1/(2*D11)*LN(B11/(B11-2*C11)))+(1/(2*E11)*LN((B11+2*F11)/B11))+(1/('Zadání parametrů'!D$14*(B11+2*F11)/1000)))*('Zadání parametrů'!D$16-'Zadání parametrů'!D$9)</f>
        <v>6.135098991672991</v>
      </c>
      <c r="N11" s="39">
        <f>M11/1000*24*'Zadání parametrů'!$D$6</f>
        <v>32.24608030023324</v>
      </c>
      <c r="O11" s="39">
        <f>N11*'Zadání parametrů'!$D$18</f>
        <v>46.43448564889572</v>
      </c>
      <c r="P11" s="40">
        <f>L11-O11</f>
        <v>78.67691996582795</v>
      </c>
      <c r="Q11" s="8">
        <f>G11/P11*365</f>
        <v>180.9298077019632</v>
      </c>
      <c r="R11" s="45">
        <f>(O11*'Zadání parametrů'!$D$4)+G11</f>
        <v>85.43448564889573</v>
      </c>
    </row>
    <row r="12" spans="1:18" ht="15.75" customHeight="1">
      <c r="A12" s="42"/>
      <c r="B12" s="22"/>
      <c r="C12" s="25"/>
      <c r="D12" s="25"/>
      <c r="E12" s="25"/>
      <c r="F12" s="22"/>
      <c r="G12" s="25"/>
      <c r="H12" s="25"/>
      <c r="I12" s="31"/>
      <c r="J12" s="31"/>
      <c r="K12" s="33"/>
      <c r="L12" s="33"/>
      <c r="M12" s="33"/>
      <c r="N12" s="33"/>
      <c r="O12" s="49" t="s">
        <v>60</v>
      </c>
      <c r="P12" s="34"/>
      <c r="Q12" s="8"/>
      <c r="R12" s="47">
        <f>MIN(R7:R11)</f>
        <v>73.29610409326412</v>
      </c>
    </row>
    <row r="13" spans="1:18" ht="21.75" customHeight="1">
      <c r="A13" s="5" t="s">
        <v>74</v>
      </c>
      <c r="B13" s="22"/>
      <c r="C13" s="42"/>
      <c r="D13" s="42"/>
      <c r="E13" s="25"/>
      <c r="F13" s="22"/>
      <c r="G13" s="25"/>
      <c r="H13" s="25"/>
      <c r="I13" s="31"/>
      <c r="J13" s="31"/>
      <c r="K13" s="33"/>
      <c r="L13" s="33"/>
      <c r="M13" s="33"/>
      <c r="N13" s="33"/>
      <c r="O13" s="33"/>
      <c r="P13" s="34"/>
      <c r="Q13" s="35"/>
      <c r="R13" s="44"/>
    </row>
    <row r="14" spans="1:18" ht="12.75">
      <c r="A14" s="4" t="s">
        <v>6</v>
      </c>
      <c r="B14" s="23">
        <v>20</v>
      </c>
      <c r="C14" s="6">
        <v>2.8</v>
      </c>
      <c r="D14" s="27">
        <f>D$7</f>
        <v>0.35</v>
      </c>
      <c r="E14" s="6">
        <v>0.044</v>
      </c>
      <c r="F14" s="23">
        <v>6</v>
      </c>
      <c r="G14" s="6">
        <v>4.2</v>
      </c>
      <c r="H14" s="48" t="str">
        <f>IF(R14=R$19,"OPTIMÁLNÍ","----")</f>
        <v>----</v>
      </c>
      <c r="I14" s="37">
        <f>G14/((3.14*(B14+2*F14)^2/4-3.14*B14^2/4)/1000000)</f>
        <v>8574.22831945125</v>
      </c>
      <c r="J14" s="38">
        <f>PI()/((1/(2*D14)*LN(B14/(B14-2*C14)))+(1/('Zadání parametrů'!D$14*(B14)/1000)))*('Zadání parametrů'!D$16-'Zadání parametrů'!D$9)</f>
        <v>20.27826459017512</v>
      </c>
      <c r="K14" s="39">
        <f>J14/1000*24*'Zadání parametrů'!$D$6</f>
        <v>106.58255868596041</v>
      </c>
      <c r="L14" s="39">
        <f>K14*'Zadání parametrů'!$D$18</f>
        <v>153.47931424986302</v>
      </c>
      <c r="M14" s="38">
        <f>PI()/((1/(2*D14)*LN(B14/(B14-2*C14)))+(1/(2*E14)*LN((B14+2*F14)/B14))+(1/('Zadání parametrů'!D$14*(B14+2*F14)/1000)))*('Zadání parametrů'!D$16-'Zadání parametrů'!D$9)</f>
        <v>12.412393803055112</v>
      </c>
      <c r="N14" s="39">
        <f>M14/1000*24*'Zadání parametrů'!$D$6</f>
        <v>65.23954182885767</v>
      </c>
      <c r="O14" s="39">
        <f>N14*'Zadání parametrů'!$D$18</f>
        <v>93.94520328012432</v>
      </c>
      <c r="P14" s="40">
        <f>L14-O14</f>
        <v>59.534110969738705</v>
      </c>
      <c r="Q14" s="8">
        <f>G14/P14*365</f>
        <v>25.74994360425113</v>
      </c>
      <c r="R14" s="45">
        <f>(O14*'Zadání parametrů'!$D$4)+G14</f>
        <v>98.14520328012432</v>
      </c>
    </row>
    <row r="15" spans="1:18" ht="12.75">
      <c r="A15" s="4" t="s">
        <v>6</v>
      </c>
      <c r="B15" s="24">
        <f aca="true" t="shared" si="1" ref="B15:C18">B$14</f>
        <v>20</v>
      </c>
      <c r="C15" s="61">
        <f t="shared" si="1"/>
        <v>2.8</v>
      </c>
      <c r="D15" s="27">
        <f>D$7</f>
        <v>0.35</v>
      </c>
      <c r="E15" s="27">
        <f>E14</f>
        <v>0.044</v>
      </c>
      <c r="F15" s="23">
        <v>9</v>
      </c>
      <c r="G15" s="6">
        <v>7.2</v>
      </c>
      <c r="H15" s="48" t="str">
        <f>IF(R15=R$19,"OPTIMÁLNÍ","----")</f>
        <v>----</v>
      </c>
      <c r="I15" s="37">
        <f>G15/((3.14*(B15+2*F15)^2/4-3.14*B15^2/4)/1000000)</f>
        <v>8785.416209092906</v>
      </c>
      <c r="J15" s="38">
        <f>PI()/((1/(2*D15)*LN(B15/(B15-2*C15)))+(1/('Zadání parametrů'!D$14*(B15)/1000)))*('Zadání parametrů'!D$16-'Zadání parametrů'!D$9)</f>
        <v>20.27826459017512</v>
      </c>
      <c r="K15" s="39">
        <f>J15/1000*24*'Zadání parametrů'!$D$6</f>
        <v>106.58255868596041</v>
      </c>
      <c r="L15" s="39">
        <f>K15*'Zadání parametrů'!$D$18</f>
        <v>153.47931424986302</v>
      </c>
      <c r="M15" s="38">
        <f>PI()/((1/(2*D15)*LN(B15/(B15-2*C15)))+(1/(2*E15)*LN((B15+2*F15)/B15))+(1/('Zadání parametrů'!D$14*(B15+2*F15)/1000)))*('Zadání parametrů'!D$16-'Zadání parametrů'!D$9)</f>
        <v>10.669679548962268</v>
      </c>
      <c r="N15" s="39">
        <f>M15/1000*24*'Zadání parametrů'!$D$6</f>
        <v>56.07983570934568</v>
      </c>
      <c r="O15" s="39">
        <f>N15*'Zadání parametrů'!$D$18</f>
        <v>80.75518953598856</v>
      </c>
      <c r="P15" s="40">
        <f>L15-O15</f>
        <v>72.72412471387446</v>
      </c>
      <c r="Q15" s="8">
        <f>G15/P15*365</f>
        <v>36.13656417783774</v>
      </c>
      <c r="R15" s="45">
        <f>(O15*'Zadání parametrů'!$D$4)+G15</f>
        <v>87.95518953598857</v>
      </c>
    </row>
    <row r="16" spans="1:18" ht="12.75">
      <c r="A16" s="12" t="s">
        <v>6</v>
      </c>
      <c r="B16" s="24">
        <f t="shared" si="1"/>
        <v>20</v>
      </c>
      <c r="C16" s="61">
        <f t="shared" si="1"/>
        <v>2.8</v>
      </c>
      <c r="D16" s="27">
        <f>D$7</f>
        <v>0.35</v>
      </c>
      <c r="E16" s="27">
        <f>E15</f>
        <v>0.044</v>
      </c>
      <c r="F16" s="29">
        <v>13</v>
      </c>
      <c r="G16" s="6">
        <v>13.2</v>
      </c>
      <c r="H16" s="48" t="str">
        <f>IF(R16=R$19,"OPTIMÁLNÍ","----")</f>
        <v>OPTIMÁLNÍ</v>
      </c>
      <c r="I16" s="37">
        <f>G16/((3.14*(B16+2*F16)^2/4-3.14*B16^2/4)/1000000)</f>
        <v>9799.118079372854</v>
      </c>
      <c r="J16" s="38">
        <f>PI()/((1/(2*D16)*LN(B16/(B16-2*C16)))+(1/('Zadání parametrů'!D$14*(B16)/1000)))*('Zadání parametrů'!D$16-'Zadání parametrů'!D$9)</f>
        <v>20.27826459017512</v>
      </c>
      <c r="K16" s="39">
        <f>J16/1000*24*'Zadání parametrů'!$D$6</f>
        <v>106.58255868596041</v>
      </c>
      <c r="L16" s="39">
        <f>K16*'Zadání parametrů'!$D$18</f>
        <v>153.47931424986302</v>
      </c>
      <c r="M16" s="38">
        <f>PI()/((1/(2*D16)*LN(B16/(B16-2*C16)))+(1/(2*E16)*LN((B16+2*F16)/B16))+(1/('Zadání parametrů'!D$14*(B16+2*F16)/1000)))*('Zadání parametrů'!D$16-'Zadání parametrů'!D$9)</f>
        <v>9.159811614464125</v>
      </c>
      <c r="N16" s="39">
        <f>M16/1000*24*'Zadání parametrů'!$D$6</f>
        <v>48.143969845623445</v>
      </c>
      <c r="O16" s="39">
        <f>N16*'Zadání parametrů'!$D$18</f>
        <v>69.32751069472778</v>
      </c>
      <c r="P16" s="40">
        <f>L16-O16</f>
        <v>84.15180355513525</v>
      </c>
      <c r="Q16" s="8">
        <f>G16/P16*365</f>
        <v>57.25367486441694</v>
      </c>
      <c r="R16" s="45">
        <f>(O16*'Zadání parametrů'!$D$4)+G16</f>
        <v>82.52751069472778</v>
      </c>
    </row>
    <row r="17" spans="1:18" ht="12.75">
      <c r="A17" s="12" t="s">
        <v>6</v>
      </c>
      <c r="B17" s="24">
        <f t="shared" si="1"/>
        <v>20</v>
      </c>
      <c r="C17" s="61">
        <f t="shared" si="1"/>
        <v>2.8</v>
      </c>
      <c r="D17" s="27">
        <f>D$7</f>
        <v>0.35</v>
      </c>
      <c r="E17" s="27">
        <f>E16</f>
        <v>0.044</v>
      </c>
      <c r="F17" s="29">
        <v>20</v>
      </c>
      <c r="G17" s="50">
        <v>25.6</v>
      </c>
      <c r="H17" s="48" t="str">
        <f>IF(R17=R$19,"OPTIMÁLNÍ","----")</f>
        <v>----</v>
      </c>
      <c r="I17" s="37">
        <f>G17/((3.14*(B17+2*F17)^2/4-3.14*B17^2/4)/1000000)</f>
        <v>10191.082802547771</v>
      </c>
      <c r="J17" s="38">
        <f>PI()/((1/(2*D17)*LN(B17/(B17-2*C17)))+(1/('Zadání parametrů'!D$14*(B17)/1000)))*('Zadání parametrů'!D$16-'Zadání parametrů'!D$9)</f>
        <v>20.27826459017512</v>
      </c>
      <c r="K17" s="39">
        <f>J17/1000*24*'Zadání parametrů'!$D$6</f>
        <v>106.58255868596041</v>
      </c>
      <c r="L17" s="39">
        <f>K17*'Zadání parametrů'!$D$18</f>
        <v>153.47931424986302</v>
      </c>
      <c r="M17" s="38">
        <f>PI()/((1/(2*D17)*LN(B17/(B17-2*C17)))+(1/(2*E17)*LN((B17+2*F17)/B17))+(1/('Zadání parametrů'!D$14*(B17+2*F17)/1000)))*('Zadání parametrů'!D$16-'Zadání parametrů'!D$9)</f>
        <v>7.585930837950598</v>
      </c>
      <c r="N17" s="39">
        <f>M17/1000*24*'Zadání parametrů'!$D$6</f>
        <v>39.87165248426834</v>
      </c>
      <c r="O17" s="39">
        <f>N17*'Zadání parametrů'!$D$18</f>
        <v>57.415340340299416</v>
      </c>
      <c r="P17" s="40">
        <f>L17-O17</f>
        <v>96.0639739095636</v>
      </c>
      <c r="Q17" s="8">
        <f>G17/P17*365</f>
        <v>97.268514092459</v>
      </c>
      <c r="R17" s="45">
        <f>(O17*'Zadání parametrů'!$D$4)+G17</f>
        <v>83.01534034029942</v>
      </c>
    </row>
    <row r="18" spans="1:18" ht="12.75">
      <c r="A18" s="12" t="s">
        <v>6</v>
      </c>
      <c r="B18" s="24">
        <f t="shared" si="1"/>
        <v>20</v>
      </c>
      <c r="C18" s="61">
        <f t="shared" si="1"/>
        <v>2.8</v>
      </c>
      <c r="D18" s="27">
        <f>D$7</f>
        <v>0.35</v>
      </c>
      <c r="E18" s="27">
        <f>E17</f>
        <v>0.044</v>
      </c>
      <c r="F18" s="23">
        <v>25</v>
      </c>
      <c r="G18" s="6">
        <v>44</v>
      </c>
      <c r="H18" s="48" t="str">
        <f>IF(R18=R$19,"OPTIMÁLNÍ","----")</f>
        <v>----</v>
      </c>
      <c r="I18" s="37">
        <f>G18/((3.14*(B18+2*F18)^2/4-3.14*B18^2/4)/1000000)</f>
        <v>12455.767869780608</v>
      </c>
      <c r="J18" s="38">
        <f>PI()/((1/(2*D18)*LN(B18/(B18-2*C18)))+(1/('Zadání parametrů'!D$14*(B18)/1000)))*('Zadání parametrů'!D$16-'Zadání parametrů'!D$9)</f>
        <v>20.27826459017512</v>
      </c>
      <c r="K18" s="39">
        <f>J18/1000*24*'Zadání parametrů'!$D$6</f>
        <v>106.58255868596041</v>
      </c>
      <c r="L18" s="39">
        <f>K18*'Zadání parametrů'!$D$18</f>
        <v>153.47931424986302</v>
      </c>
      <c r="M18" s="38">
        <f>PI()/((1/(2*D18)*LN(B18/(B18-2*C18)))+(1/(2*E18)*LN((B18+2*F18)/B18))+(1/('Zadání parametrů'!D$14*(B18+2*F18)/1000)))*('Zadání parametrů'!D$16-'Zadání parametrů'!D$9)</f>
        <v>6.874245431299374</v>
      </c>
      <c r="N18" s="39">
        <f>M18/1000*24*'Zadání parametrů'!$D$6</f>
        <v>36.131033986909515</v>
      </c>
      <c r="O18" s="39">
        <f>N18*'Zadání parametrů'!$D$18</f>
        <v>52.028834621886695</v>
      </c>
      <c r="P18" s="40">
        <f>L18-O18</f>
        <v>101.45047962797634</v>
      </c>
      <c r="Q18" s="8">
        <f>G18/P18*365</f>
        <v>158.30383512126085</v>
      </c>
      <c r="R18" s="45">
        <f>(O18*'Zadání parametrů'!$D$4)+G18</f>
        <v>96.02883462188669</v>
      </c>
    </row>
    <row r="19" spans="1:18" ht="15.75" customHeight="1">
      <c r="A19" s="42"/>
      <c r="B19" s="22"/>
      <c r="C19" s="25"/>
      <c r="D19" s="25"/>
      <c r="E19" s="25"/>
      <c r="F19" s="22"/>
      <c r="G19" s="25"/>
      <c r="H19" s="22"/>
      <c r="I19" s="31"/>
      <c r="J19" s="31"/>
      <c r="K19" s="33"/>
      <c r="L19" s="33"/>
      <c r="M19" s="33"/>
      <c r="N19" s="33"/>
      <c r="O19" s="49" t="s">
        <v>60</v>
      </c>
      <c r="P19" s="34"/>
      <c r="Q19" s="8"/>
      <c r="R19" s="47">
        <f>MIN(R14:R18)</f>
        <v>82.52751069472778</v>
      </c>
    </row>
    <row r="20" spans="1:18" ht="21.75" customHeight="1">
      <c r="A20" s="5" t="s">
        <v>75</v>
      </c>
      <c r="B20" s="22"/>
      <c r="C20" s="42"/>
      <c r="D20" s="42"/>
      <c r="E20" s="25"/>
      <c r="F20" s="22"/>
      <c r="G20" s="25"/>
      <c r="H20" s="22"/>
      <c r="I20" s="31"/>
      <c r="J20" s="31"/>
      <c r="K20" s="33"/>
      <c r="L20" s="33"/>
      <c r="M20" s="33"/>
      <c r="N20" s="33"/>
      <c r="O20" s="33"/>
      <c r="P20" s="34"/>
      <c r="Q20" s="35"/>
      <c r="R20" s="43"/>
    </row>
    <row r="21" spans="1:19" s="18" customFormat="1" ht="12.75">
      <c r="A21" s="4" t="s">
        <v>6</v>
      </c>
      <c r="B21" s="23">
        <v>25</v>
      </c>
      <c r="C21" s="6">
        <v>3.5</v>
      </c>
      <c r="D21" s="27">
        <f>D$7</f>
        <v>0.35</v>
      </c>
      <c r="E21" s="50">
        <v>0.044</v>
      </c>
      <c r="F21" s="23">
        <v>6</v>
      </c>
      <c r="G21" s="6">
        <v>5.4</v>
      </c>
      <c r="H21" s="48" t="str">
        <f>IF(R21=R$30,"OPTIMÁLNÍ","----")</f>
        <v>----</v>
      </c>
      <c r="I21" s="37">
        <f>G21/((3.14*(B21+2*F21)^2/4-3.14*B21^2/4)/1000000)</f>
        <v>9245.9420587631</v>
      </c>
      <c r="J21" s="38">
        <f>PI()/((1/(2*D21)*LN(B21/(B21-2*C21)))+(1/('Zadání parametrů'!D$14*(B21)/1000)))*('Zadání parametrů'!D$16-'Zadání parametrů'!D$9)</f>
        <v>24.815508240576126</v>
      </c>
      <c r="K21" s="39">
        <f>J21/1000*24*'Zadání parametrů'!$D$6</f>
        <v>130.43031131246812</v>
      </c>
      <c r="L21" s="39">
        <f>K21*'Zadání parametrů'!$D$18</f>
        <v>187.820174186442</v>
      </c>
      <c r="M21" s="38">
        <f>PI()/((1/(2*D21)*LN(B21/(B21-2*C21)))+(1/(2*E21)*LN((B21+2*F21)/B21))+(1/('Zadání parametrů'!D$14*(B21+2*F21)/1000)))*('Zadání parametrů'!D$16-'Zadání parametrů'!D$9)</f>
        <v>14.541429081740425</v>
      </c>
      <c r="N21" s="39">
        <f>M21/1000*24*'Zadání parametrů'!$D$6</f>
        <v>76.42975125362767</v>
      </c>
      <c r="O21" s="39">
        <f>N21*'Zadání parametrů'!$D$18</f>
        <v>110.05914997084388</v>
      </c>
      <c r="P21" s="40">
        <f>L21-O21</f>
        <v>77.76102421559811</v>
      </c>
      <c r="Q21" s="8">
        <f>G21/P21*365</f>
        <v>25.346888365760964</v>
      </c>
      <c r="R21" s="45">
        <f>(O21*'Zadání parametrů'!$D$4)+G21</f>
        <v>115.45914997084388</v>
      </c>
      <c r="S21" s="46"/>
    </row>
    <row r="22" spans="1:18" ht="12.75">
      <c r="A22" s="4" t="s">
        <v>6</v>
      </c>
      <c r="B22" s="24">
        <f aca="true" t="shared" si="2" ref="B22:C25">B$21</f>
        <v>25</v>
      </c>
      <c r="C22" s="61">
        <f t="shared" si="2"/>
        <v>3.5</v>
      </c>
      <c r="D22" s="27">
        <f>D$7</f>
        <v>0.35</v>
      </c>
      <c r="E22" s="27">
        <f>E21</f>
        <v>0.044</v>
      </c>
      <c r="F22" s="23">
        <v>9</v>
      </c>
      <c r="G22" s="6">
        <v>8.4</v>
      </c>
      <c r="H22" s="48" t="str">
        <f aca="true" t="shared" si="3" ref="H22:H29">IF(R22=R$30,"OPTIMÁLNÍ","----")</f>
        <v>----</v>
      </c>
      <c r="I22" s="37">
        <f>G22/((3.14*(B22+2*F22)^2/4-3.14*B22^2/4)/1000000)</f>
        <v>8742.350443362056</v>
      </c>
      <c r="J22" s="38">
        <f>PI()/((1/(2*D22)*LN(B22/(B22-2*C22)))+(1/('Zadání parametrů'!D$14*(B22)/1000)))*('Zadání parametrů'!D$16-'Zadání parametrů'!D$9)</f>
        <v>24.815508240576126</v>
      </c>
      <c r="K22" s="39">
        <f>J22/1000*24*'Zadání parametrů'!$D$6</f>
        <v>130.43031131246812</v>
      </c>
      <c r="L22" s="39">
        <f>K22*'Zadání parametrů'!$D$18</f>
        <v>187.820174186442</v>
      </c>
      <c r="M22" s="38">
        <f>PI()/((1/(2*D22)*LN(B22/(B22-2*C22)))+(1/(2*E22)*LN((B22+2*F22)/B22))+(1/('Zadání parametrů'!D$14*(B22+2*F22)/1000)))*('Zadání parametrů'!D$16-'Zadání parametrů'!D$9)</f>
        <v>12.381344842543458</v>
      </c>
      <c r="N22" s="39">
        <f>M22/1000*24*'Zadání parametrů'!$D$6</f>
        <v>65.07634849240841</v>
      </c>
      <c r="O22" s="39">
        <f>N22*'Zadání parametrů'!$D$18</f>
        <v>93.71020421764001</v>
      </c>
      <c r="P22" s="40">
        <f>L22-O22</f>
        <v>94.10996996880198</v>
      </c>
      <c r="Q22" s="8">
        <f>G22/P22*365</f>
        <v>32.57890743155478</v>
      </c>
      <c r="R22" s="45">
        <f>(O22*'Zadání parametrů'!$D$4)+G22</f>
        <v>102.11020421764002</v>
      </c>
    </row>
    <row r="23" spans="1:18" ht="12.75">
      <c r="A23" s="4" t="s">
        <v>6</v>
      </c>
      <c r="B23" s="24">
        <f t="shared" si="2"/>
        <v>25</v>
      </c>
      <c r="C23" s="61">
        <f t="shared" si="2"/>
        <v>3.5</v>
      </c>
      <c r="D23" s="27">
        <f>D$7</f>
        <v>0.35</v>
      </c>
      <c r="E23" s="27">
        <f>E22</f>
        <v>0.044</v>
      </c>
      <c r="F23" s="29">
        <v>13</v>
      </c>
      <c r="G23" s="6">
        <v>15.9</v>
      </c>
      <c r="H23" s="48" t="str">
        <f t="shared" si="3"/>
        <v>----</v>
      </c>
      <c r="I23" s="37">
        <f>G23/((3.14*(B23+2*F23)^2/4-3.14*B23^2/4)/1000000)</f>
        <v>10250.393254080816</v>
      </c>
      <c r="J23" s="38">
        <f>PI()/((1/(2*D23)*LN(B23/(B23-2*C23)))+(1/('Zadání parametrů'!D$14*(B23)/1000)))*('Zadání parametrů'!D$16-'Zadání parametrů'!D$9)</f>
        <v>24.815508240576126</v>
      </c>
      <c r="K23" s="39">
        <f>J23/1000*24*'Zadání parametrů'!$D$6</f>
        <v>130.43031131246812</v>
      </c>
      <c r="L23" s="39">
        <f>K23*'Zadání parametrů'!$D$18</f>
        <v>187.820174186442</v>
      </c>
      <c r="M23" s="38">
        <f>PI()/((1/(2*D23)*LN(B23/(B23-2*C23)))+(1/(2*E23)*LN((B23+2*F23)/B23))+(1/('Zadání parametrů'!D$14*(B23+2*F23)/1000)))*('Zadání parametrů'!D$16-'Zadání parametrů'!D$9)</f>
        <v>10.530770639448669</v>
      </c>
      <c r="N23" s="39">
        <f>M23/1000*24*'Zadání parametrů'!$D$6</f>
        <v>55.349730480942206</v>
      </c>
      <c r="O23" s="39">
        <f>N23*'Zadání parametrů'!$D$18</f>
        <v>79.70383506329503</v>
      </c>
      <c r="P23" s="40">
        <f>L23-O23</f>
        <v>108.11633912314696</v>
      </c>
      <c r="Q23" s="8">
        <f>G23/P23*365</f>
        <v>53.67828810213119</v>
      </c>
      <c r="R23" s="45">
        <f>(O23*'Zadání parametrů'!$D$4)+G23</f>
        <v>95.60383506329504</v>
      </c>
    </row>
    <row r="24" spans="1:18" ht="12.75">
      <c r="A24" s="4" t="s">
        <v>6</v>
      </c>
      <c r="B24" s="24">
        <f t="shared" si="2"/>
        <v>25</v>
      </c>
      <c r="C24" s="61">
        <f t="shared" si="2"/>
        <v>3.5</v>
      </c>
      <c r="D24" s="27">
        <f>D$7</f>
        <v>0.35</v>
      </c>
      <c r="E24" s="27">
        <f>E23</f>
        <v>0.044</v>
      </c>
      <c r="F24" s="23">
        <v>20</v>
      </c>
      <c r="G24" s="50">
        <v>29.8</v>
      </c>
      <c r="H24" s="48" t="str">
        <f t="shared" si="3"/>
        <v>OPTIMÁLNÍ</v>
      </c>
      <c r="I24" s="37">
        <f>G24/((3.14*(B24+2*F24)^2/4-3.14*B24^2/4)/1000000)</f>
        <v>10544.939844302902</v>
      </c>
      <c r="J24" s="38">
        <f>PI()/((1/(2*D24)*LN(B24/(B24-2*C24)))+(1/('Zadání parametrů'!D$14*(B24)/1000)))*('Zadání parametrů'!D$16-'Zadání parametrů'!D$9)</f>
        <v>24.815508240576126</v>
      </c>
      <c r="K24" s="39">
        <f>J24/1000*24*'Zadání parametrů'!$D$6</f>
        <v>130.43031131246812</v>
      </c>
      <c r="L24" s="39">
        <f>K24*'Zadání parametrů'!$D$18</f>
        <v>187.820174186442</v>
      </c>
      <c r="M24" s="38">
        <f>PI()/((1/(2*D24)*LN(B24/(B24-2*C24)))+(1/(2*E24)*LN((B24+2*F24)/B24))+(1/('Zadání parametrů'!D$14*(B24+2*F24)/1000)))*('Zadání parametrů'!D$16-'Zadání parametrů'!D$9)</f>
        <v>8.620327998436808</v>
      </c>
      <c r="N24" s="39">
        <f>M24/1000*24*'Zadání parametrů'!$D$6</f>
        <v>45.30844395978386</v>
      </c>
      <c r="O24" s="39">
        <f>N24*'Zadání parametrů'!$D$18</f>
        <v>65.24434198624638</v>
      </c>
      <c r="P24" s="40">
        <f>L24-O24</f>
        <v>122.5758322001956</v>
      </c>
      <c r="Q24" s="8">
        <f>G24/P24*365</f>
        <v>88.73690518564264</v>
      </c>
      <c r="R24" s="45">
        <f>(O24*'Zadání parametrů'!$D$4)+G24</f>
        <v>95.04434198624638</v>
      </c>
    </row>
    <row r="25" spans="1:18" ht="12.75">
      <c r="A25" s="4" t="s">
        <v>6</v>
      </c>
      <c r="B25" s="24">
        <f t="shared" si="2"/>
        <v>25</v>
      </c>
      <c r="C25" s="61">
        <f t="shared" si="2"/>
        <v>3.5</v>
      </c>
      <c r="D25" s="27">
        <f>D$7</f>
        <v>0.35</v>
      </c>
      <c r="E25" s="27">
        <f>E24</f>
        <v>0.044</v>
      </c>
      <c r="F25" s="23">
        <v>25</v>
      </c>
      <c r="G25" s="6">
        <v>48</v>
      </c>
      <c r="H25" s="48" t="str">
        <f t="shared" si="3"/>
        <v>----</v>
      </c>
      <c r="I25" s="37">
        <f>G25/((3.14*(B25+2*F25)^2/4-3.14*B25^2/4)/1000000)</f>
        <v>12229.299363057326</v>
      </c>
      <c r="J25" s="38">
        <f>PI()/((1/(2*D25)*LN(B25/(B25-2*C25)))+(1/('Zadání parametrů'!D$14*(B25)/1000)))*('Zadání parametrů'!D$16-'Zadání parametrů'!D$9)</f>
        <v>24.815508240576126</v>
      </c>
      <c r="K25" s="39">
        <f>J25/1000*24*'Zadání parametrů'!$D$6</f>
        <v>130.43031131246812</v>
      </c>
      <c r="L25" s="39">
        <f>K25*'Zadání parametrů'!$D$18</f>
        <v>187.820174186442</v>
      </c>
      <c r="M25" s="38">
        <f>PI()/((1/(2*D25)*LN(B25/(B25-2*C25)))+(1/(2*E25)*LN((B25+2*F25)/B25))+(1/('Zadání parametrů'!D$14*(B25+2*F25)/1000)))*('Zadání parametrů'!D$16-'Zadání parametrů'!D$9)</f>
        <v>7.762921753024151</v>
      </c>
      <c r="N25" s="39">
        <f>M25/1000*24*'Zadání parametrů'!$D$6</f>
        <v>40.80191673389494</v>
      </c>
      <c r="O25" s="39">
        <f>N25*'Zadání parametrů'!$D$18</f>
        <v>58.75492461059768</v>
      </c>
      <c r="P25" s="40">
        <f>L25-O25</f>
        <v>129.0652495758443</v>
      </c>
      <c r="Q25" s="8">
        <f>G25/P25*365</f>
        <v>135.74529207185623</v>
      </c>
      <c r="R25" s="45">
        <f>(O25*'Zadání parametrů'!$D$4)+G25</f>
        <v>106.75492461059768</v>
      </c>
    </row>
    <row r="26" spans="1:18" ht="12.75">
      <c r="A26" s="4"/>
      <c r="B26" s="24"/>
      <c r="C26" s="61"/>
      <c r="D26" s="27"/>
      <c r="E26" s="27"/>
      <c r="F26" s="23"/>
      <c r="G26" s="6"/>
      <c r="H26" s="48"/>
      <c r="I26" s="37"/>
      <c r="J26" s="38"/>
      <c r="K26" s="39"/>
      <c r="L26" s="39"/>
      <c r="M26" s="38"/>
      <c r="N26" s="39"/>
      <c r="O26" s="39"/>
      <c r="P26" s="40"/>
      <c r="Q26" s="8"/>
      <c r="R26" s="45"/>
    </row>
    <row r="27" spans="1:18" ht="12.75">
      <c r="A27" s="4" t="s">
        <v>15</v>
      </c>
      <c r="B27" s="24">
        <f aca="true" t="shared" si="4" ref="B27:C29">B$21</f>
        <v>25</v>
      </c>
      <c r="C27" s="61">
        <f t="shared" si="4"/>
        <v>3.5</v>
      </c>
      <c r="D27" s="27">
        <f>D$7</f>
        <v>0.35</v>
      </c>
      <c r="E27" s="50">
        <v>0.038</v>
      </c>
      <c r="F27" s="23">
        <v>20</v>
      </c>
      <c r="G27" s="6">
        <v>72</v>
      </c>
      <c r="H27" s="48" t="str">
        <f t="shared" si="3"/>
        <v>----</v>
      </c>
      <c r="I27" s="37">
        <f>G27/((3.14*(B27+2*F27)^2/4-3.14*B27^2/4)/1000000)</f>
        <v>25477.707006369426</v>
      </c>
      <c r="J27" s="38">
        <f>PI()/((1/(2*D27)*LN(B27/(B27-2*C27)))+(1/('Zadání parametrů'!D$14*(B27)/1000)))*('Zadání parametrů'!D$16-'Zadání parametrů'!D$9)</f>
        <v>24.815508240576126</v>
      </c>
      <c r="K27" s="39">
        <f>J27/1000*24*'Zadání parametrů'!$D$6</f>
        <v>130.43031131246812</v>
      </c>
      <c r="L27" s="39">
        <f>K27*'Zadání parametrů'!$D$18</f>
        <v>187.820174186442</v>
      </c>
      <c r="M27" s="38">
        <f>PI()/((1/(2*D27)*LN(B27/(B27-2*C27)))+(1/(2*E27)*LN((B27+2*F27)/B27))+(1/('Zadání parametrů'!D$14*(B27+2*F27)/1000)))*('Zadání parametrů'!D$16-'Zadání parametrů'!D$9)</f>
        <v>7.606698974451783</v>
      </c>
      <c r="N27" s="39">
        <f>M27/1000*24*'Zadání parametrů'!$D$6</f>
        <v>39.98080980971857</v>
      </c>
      <c r="O27" s="39">
        <f>N27*'Zadání parametrů'!$D$18</f>
        <v>57.57252732907132</v>
      </c>
      <c r="P27" s="40">
        <f>L27-O27</f>
        <v>130.24764685737068</v>
      </c>
      <c r="Q27" s="8">
        <f>G27/P27*365</f>
        <v>201.76948017170892</v>
      </c>
      <c r="R27" s="45">
        <f>(O27*'Zadání parametrů'!$D$4)+G27</f>
        <v>129.5725273290713</v>
      </c>
    </row>
    <row r="28" spans="1:18" ht="12.75">
      <c r="A28" s="4" t="s">
        <v>15</v>
      </c>
      <c r="B28" s="24">
        <f t="shared" si="4"/>
        <v>25</v>
      </c>
      <c r="C28" s="61">
        <f t="shared" si="4"/>
        <v>3.5</v>
      </c>
      <c r="D28" s="27">
        <f>D$7</f>
        <v>0.35</v>
      </c>
      <c r="E28" s="27">
        <f>E27</f>
        <v>0.038</v>
      </c>
      <c r="F28" s="23">
        <v>25</v>
      </c>
      <c r="G28" s="6">
        <v>76</v>
      </c>
      <c r="H28" s="48" t="str">
        <f t="shared" si="3"/>
        <v>----</v>
      </c>
      <c r="I28" s="37">
        <f>G28/((3.14*(B28+2*F28)^2/4-3.14*B28^2/4)/1000000)</f>
        <v>19363.057324840767</v>
      </c>
      <c r="J28" s="38">
        <f>PI()/((1/(2*D28)*LN(B28/(B28-2*C28)))+(1/('Zadání parametrů'!D$14*(B28)/1000)))*('Zadání parametrů'!D$16-'Zadání parametrů'!D$9)</f>
        <v>24.815508240576126</v>
      </c>
      <c r="K28" s="39">
        <f>J28/1000*24*'Zadání parametrů'!$D$6</f>
        <v>130.43031131246812</v>
      </c>
      <c r="L28" s="39">
        <f>K28*'Zadání parametrů'!$D$18</f>
        <v>187.820174186442</v>
      </c>
      <c r="M28" s="38">
        <f>PI()/((1/(2*D28)*LN(B28/(B28-2*C28)))+(1/(2*E28)*LN((B28+2*F28)/B28))+(1/('Zadání parametrů'!D$14*(B28+2*F28)/1000)))*('Zadání parametrů'!D$16-'Zadání parametrů'!D$9)</f>
        <v>6.821712483240957</v>
      </c>
      <c r="N28" s="39">
        <f>M28/1000*24*'Zadání parametrů'!$D$6</f>
        <v>35.85492081191447</v>
      </c>
      <c r="O28" s="39">
        <f>N28*'Zadání parametrů'!$D$18</f>
        <v>51.63123053660239</v>
      </c>
      <c r="P28" s="40">
        <f>L28-O28</f>
        <v>136.1889436498396</v>
      </c>
      <c r="Q28" s="8">
        <f>G28/P28*365</f>
        <v>203.68760676581306</v>
      </c>
      <c r="R28" s="45">
        <f>(O28*'Zadání parametrů'!$D$4)+G28</f>
        <v>127.63123053660239</v>
      </c>
    </row>
    <row r="29" spans="1:18" ht="12.75">
      <c r="A29" s="4" t="s">
        <v>15</v>
      </c>
      <c r="B29" s="24">
        <f t="shared" si="4"/>
        <v>25</v>
      </c>
      <c r="C29" s="61">
        <f t="shared" si="4"/>
        <v>3.5</v>
      </c>
      <c r="D29" s="27">
        <f>D$7</f>
        <v>0.35</v>
      </c>
      <c r="E29" s="27">
        <f>E28</f>
        <v>0.038</v>
      </c>
      <c r="F29" s="23">
        <v>30</v>
      </c>
      <c r="G29" s="6">
        <v>81</v>
      </c>
      <c r="H29" s="48" t="str">
        <f t="shared" si="3"/>
        <v>----</v>
      </c>
      <c r="I29" s="37">
        <f>G29/((3.14*(B29+2*F29)^2/4-3.14*B29^2/4)/1000000)</f>
        <v>15634.04748118124</v>
      </c>
      <c r="J29" s="38">
        <f>PI()/((1/(2*D29)*LN(B29/(B29-2*C29)))+(1/('Zadání parametrů'!D$14*(B29)/1000)))*('Zadání parametrů'!D$16-'Zadání parametrů'!D$9)</f>
        <v>24.815508240576126</v>
      </c>
      <c r="K29" s="39">
        <f>J29/1000*24*'Zadání parametrů'!$D$6</f>
        <v>130.43031131246812</v>
      </c>
      <c r="L29" s="39">
        <f>K29*'Zadání parametrů'!$D$18</f>
        <v>187.820174186442</v>
      </c>
      <c r="M29" s="38">
        <f>PI()/((1/(2*D29)*LN(B29/(B29-2*C29)))+(1/(2*E29)*LN((B29+2*F29)/B29))+(1/('Zadání parametrů'!D$14*(B29+2*F29)/1000)))*('Zadání parametrů'!D$16-'Zadání parametrů'!D$9)</f>
        <v>6.249002736875905</v>
      </c>
      <c r="N29" s="39">
        <f>M29/1000*24*'Zadání parametrů'!$D$6</f>
        <v>32.84475838501976</v>
      </c>
      <c r="O29" s="39">
        <f>N29*'Zadání parametrů'!$D$18</f>
        <v>47.29658450486511</v>
      </c>
      <c r="P29" s="40">
        <f>L29-O29</f>
        <v>140.52358968157688</v>
      </c>
      <c r="Q29" s="8">
        <f>G29/P29*365</f>
        <v>210.3917218951892</v>
      </c>
      <c r="R29" s="45">
        <f>(O29*'Zadání parametrů'!$D$4)+G29</f>
        <v>128.2965845048651</v>
      </c>
    </row>
    <row r="30" spans="1:18" ht="15.75" customHeight="1">
      <c r="A30" s="42"/>
      <c r="B30" s="22"/>
      <c r="C30" s="25"/>
      <c r="D30" s="25"/>
      <c r="E30" s="25"/>
      <c r="F30" s="22"/>
      <c r="G30" s="25"/>
      <c r="H30" s="22"/>
      <c r="I30" s="31"/>
      <c r="J30" s="31"/>
      <c r="K30" s="33"/>
      <c r="L30" s="33"/>
      <c r="M30" s="33"/>
      <c r="N30" s="33"/>
      <c r="O30" s="49" t="s">
        <v>60</v>
      </c>
      <c r="P30" s="34"/>
      <c r="Q30" s="8"/>
      <c r="R30" s="47">
        <f>MIN(R21:R29)</f>
        <v>95.04434198624638</v>
      </c>
    </row>
    <row r="31" spans="1:18" ht="21.75" customHeight="1">
      <c r="A31" s="5" t="s">
        <v>76</v>
      </c>
      <c r="B31" s="22"/>
      <c r="C31" s="42"/>
      <c r="D31" s="42"/>
      <c r="E31" s="25"/>
      <c r="F31" s="22"/>
      <c r="G31" s="25"/>
      <c r="H31" s="22"/>
      <c r="I31" s="31"/>
      <c r="J31" s="31"/>
      <c r="K31" s="33"/>
      <c r="L31" s="33"/>
      <c r="M31" s="33"/>
      <c r="N31" s="33"/>
      <c r="O31" s="33"/>
      <c r="P31" s="34"/>
      <c r="Q31" s="35"/>
      <c r="R31" s="43"/>
    </row>
    <row r="32" spans="1:18" ht="12.75">
      <c r="A32" s="4" t="s">
        <v>6</v>
      </c>
      <c r="B32" s="23">
        <v>32</v>
      </c>
      <c r="C32" s="6">
        <v>4.4</v>
      </c>
      <c r="D32" s="27">
        <f>D$7</f>
        <v>0.35</v>
      </c>
      <c r="E32" s="50">
        <v>0.044</v>
      </c>
      <c r="F32" s="23">
        <v>6</v>
      </c>
      <c r="G32" s="6">
        <v>6.3</v>
      </c>
      <c r="H32" s="48" t="str">
        <f>IF(R32=R$42,"OPTIMÁLNÍ","----")</f>
        <v>----</v>
      </c>
      <c r="I32" s="37">
        <f>G32/((3.14*(B32+2*F32)^2/4-3.14*B32^2/4)/1000000)</f>
        <v>8799.86590680523</v>
      </c>
      <c r="J32" s="38">
        <f>PI()/((1/(2*D32)*LN(B32/(B32-2*C32)))+(1/('Zadání parametrů'!D$14*(B32)/1000)))*('Zadání parametrů'!D$16-'Zadání parametrů'!D$9)</f>
        <v>30.94174211974235</v>
      </c>
      <c r="K32" s="39">
        <f>J32/1000*24*'Zadání parametrů'!$D$6</f>
        <v>162.62979658136578</v>
      </c>
      <c r="L32" s="39">
        <f>K32*'Zadání parametrů'!$D$18</f>
        <v>234.1875628023428</v>
      </c>
      <c r="M32" s="38">
        <f>PI()/((1/(2*D32)*LN(B32/(B32-2*C32)))+(1/(2*E32)*LN((B32+2*F32)/B32))+(1/('Zadání parametrů'!D$14*(B32+2*F32)/1000)))*('Zadání parametrů'!D$16-'Zadání parametrů'!D$9)</f>
        <v>17.463242485810927</v>
      </c>
      <c r="N32" s="39">
        <f>M32/1000*24*'Zadání parametrů'!$D$6</f>
        <v>91.78680250542223</v>
      </c>
      <c r="O32" s="39">
        <f>N32*'Zadání parametrů'!$D$18</f>
        <v>132.17336569323209</v>
      </c>
      <c r="P32" s="40">
        <f>L32-O32</f>
        <v>102.01419710911071</v>
      </c>
      <c r="Q32" s="8">
        <f>G32/P32*365</f>
        <v>22.540980227884727</v>
      </c>
      <c r="R32" s="45">
        <f>(O32*'Zadání parametrů'!$D$4)+G32</f>
        <v>138.4733656932321</v>
      </c>
    </row>
    <row r="33" spans="1:18" ht="12.75">
      <c r="A33" s="4" t="s">
        <v>6</v>
      </c>
      <c r="B33" s="24">
        <f aca="true" t="shared" si="5" ref="B33:C36">B$32</f>
        <v>32</v>
      </c>
      <c r="C33" s="61">
        <f t="shared" si="5"/>
        <v>4.4</v>
      </c>
      <c r="D33" s="27">
        <f>D$7</f>
        <v>0.35</v>
      </c>
      <c r="E33" s="27">
        <f>E32</f>
        <v>0.044</v>
      </c>
      <c r="F33" s="23">
        <v>9</v>
      </c>
      <c r="G33" s="6">
        <v>9.9</v>
      </c>
      <c r="H33" s="48" t="str">
        <f aca="true" t="shared" si="6" ref="H33:H41">IF(R33=R$42,"OPTIMÁLNÍ","----")</f>
        <v>----</v>
      </c>
      <c r="I33" s="37">
        <f>G33/((3.14*(B33+2*F33)^2/4-3.14*B33^2/4)/1000000)</f>
        <v>8544.352959453163</v>
      </c>
      <c r="J33" s="38">
        <f>PI()/((1/(2*D33)*LN(B33/(B33-2*C33)))+(1/('Zadání parametrů'!D$14*(B33)/1000)))*('Zadání parametrů'!D$16-'Zadání parametrů'!D$9)</f>
        <v>30.94174211974235</v>
      </c>
      <c r="K33" s="39">
        <f>J33/1000*24*'Zadání parametrů'!$D$6</f>
        <v>162.62979658136578</v>
      </c>
      <c r="L33" s="39">
        <f>K33*'Zadání parametrů'!$D$18</f>
        <v>234.1875628023428</v>
      </c>
      <c r="M33" s="38">
        <f>PI()/((1/(2*D33)*LN(B33/(B33-2*C33)))+(1/(2*E33)*LN((B33+2*F33)/B33))+(1/('Zadání parametrů'!D$14*(B33+2*F33)/1000)))*('Zadání parametrů'!D$16-'Zadání parametrů'!D$9)</f>
        <v>14.727122122909856</v>
      </c>
      <c r="N33" s="39">
        <f>M33/1000*24*'Zadání parametrů'!$D$6</f>
        <v>77.4057538780142</v>
      </c>
      <c r="O33" s="39">
        <f>N33*'Zadání parametrů'!$D$18</f>
        <v>111.46459768521407</v>
      </c>
      <c r="P33" s="40">
        <f>L33-O33</f>
        <v>122.72296511712872</v>
      </c>
      <c r="Q33" s="8">
        <f>G33/P33*365</f>
        <v>29.44436680250692</v>
      </c>
      <c r="R33" s="45">
        <f>(O33*'Zadání parametrů'!$D$4)+G33</f>
        <v>121.36459768521408</v>
      </c>
    </row>
    <row r="34" spans="1:18" ht="12.75">
      <c r="A34" s="4" t="s">
        <v>6</v>
      </c>
      <c r="B34" s="24">
        <f t="shared" si="5"/>
        <v>32</v>
      </c>
      <c r="C34" s="61">
        <f t="shared" si="5"/>
        <v>4.4</v>
      </c>
      <c r="D34" s="27">
        <f>D$7</f>
        <v>0.35</v>
      </c>
      <c r="E34" s="27">
        <f>E33</f>
        <v>0.044</v>
      </c>
      <c r="F34" s="29">
        <v>13</v>
      </c>
      <c r="G34" s="50">
        <v>19.2</v>
      </c>
      <c r="H34" s="48" t="str">
        <f t="shared" si="6"/>
        <v>----</v>
      </c>
      <c r="I34" s="37">
        <f>G34/((3.14*(B34+2*F34)^2/4-3.14*B34^2/4)/1000000)</f>
        <v>10452.392617997713</v>
      </c>
      <c r="J34" s="38">
        <f>PI()/((1/(2*D34)*LN(B34/(B34-2*C34)))+(1/('Zadání parametrů'!D$14*(B34)/1000)))*('Zadání parametrů'!D$16-'Zadání parametrů'!D$9)</f>
        <v>30.94174211974235</v>
      </c>
      <c r="K34" s="39">
        <f>J34/1000*24*'Zadání parametrů'!$D$6</f>
        <v>162.62979658136578</v>
      </c>
      <c r="L34" s="39">
        <f>K34*'Zadání parametrů'!$D$18</f>
        <v>234.1875628023428</v>
      </c>
      <c r="M34" s="38">
        <f>PI()/((1/(2*D34)*LN(B34/(B34-2*C34)))+(1/(2*E34)*LN((B34+2*F34)/B34))+(1/('Zadání parametrů'!D$14*(B34+2*F34)/1000)))*('Zadání parametrů'!D$16-'Zadání parametrů'!D$9)</f>
        <v>12.403597597036617</v>
      </c>
      <c r="N34" s="39">
        <f>M34/1000*24*'Zadání parametrů'!$D$6</f>
        <v>65.19330897002446</v>
      </c>
      <c r="O34" s="39">
        <f>N34*'Zadání parametrů'!$D$18</f>
        <v>93.87862777699308</v>
      </c>
      <c r="P34" s="40">
        <f>L34-O34</f>
        <v>140.3089350253497</v>
      </c>
      <c r="Q34" s="8">
        <f>G34/P34*365</f>
        <v>49.94692603670507</v>
      </c>
      <c r="R34" s="45">
        <f>(O34*'Zadání parametrů'!$D$4)+G34</f>
        <v>113.07862777699309</v>
      </c>
    </row>
    <row r="35" spans="1:18" ht="12.75">
      <c r="A35" s="4" t="s">
        <v>6</v>
      </c>
      <c r="B35" s="24">
        <f t="shared" si="5"/>
        <v>32</v>
      </c>
      <c r="C35" s="61">
        <f t="shared" si="5"/>
        <v>4.4</v>
      </c>
      <c r="D35" s="27">
        <f>D$7</f>
        <v>0.35</v>
      </c>
      <c r="E35" s="27">
        <f>E34</f>
        <v>0.044</v>
      </c>
      <c r="F35" s="23">
        <v>20</v>
      </c>
      <c r="G35" s="6">
        <v>35</v>
      </c>
      <c r="H35" s="48" t="str">
        <f t="shared" si="6"/>
        <v>OPTIMÁLNÍ</v>
      </c>
      <c r="I35" s="37">
        <f>G35/((3.14*(B35+2*F35)^2/4-3.14*B35^2/4)/1000000)</f>
        <v>10717.785399314062</v>
      </c>
      <c r="J35" s="38">
        <f>PI()/((1/(2*D35)*LN(B35/(B35-2*C35)))+(1/('Zadání parametrů'!D$14*(B35)/1000)))*('Zadání parametrů'!D$16-'Zadání parametrů'!D$9)</f>
        <v>30.94174211974235</v>
      </c>
      <c r="K35" s="39">
        <f>J35/1000*24*'Zadání parametrů'!$D$6</f>
        <v>162.62979658136578</v>
      </c>
      <c r="L35" s="39">
        <f>K35*'Zadání parametrů'!$D$18</f>
        <v>234.1875628023428</v>
      </c>
      <c r="M35" s="38">
        <f>PI()/((1/(2*D35)*LN(B35/(B35-2*C35)))+(1/(2*E35)*LN((B35+2*F35)/B35))+(1/('Zadání parametrů'!D$14*(B35+2*F35)/1000)))*('Zadání parametrů'!D$16-'Zadání parametrů'!D$9)</f>
        <v>10.024733698714837</v>
      </c>
      <c r="N35" s="39">
        <f>M35/1000*24*'Zadání parametrů'!$D$6</f>
        <v>52.690000320445186</v>
      </c>
      <c r="O35" s="39">
        <f>N35*'Zadání parametrů'!$D$18</f>
        <v>75.87381290811729</v>
      </c>
      <c r="P35" s="40">
        <f>L35-O35</f>
        <v>158.3137498942255</v>
      </c>
      <c r="Q35" s="8">
        <f>G35/P35*365</f>
        <v>80.69419117755335</v>
      </c>
      <c r="R35" s="45">
        <f>(O35*'Zadání parametrů'!$D$4)+G35</f>
        <v>110.87381290811729</v>
      </c>
    </row>
    <row r="36" spans="1:18" ht="12.75">
      <c r="A36" s="4" t="s">
        <v>6</v>
      </c>
      <c r="B36" s="24">
        <f t="shared" si="5"/>
        <v>32</v>
      </c>
      <c r="C36" s="61">
        <f t="shared" si="5"/>
        <v>4.4</v>
      </c>
      <c r="D36" s="27">
        <f>D$7</f>
        <v>0.35</v>
      </c>
      <c r="E36" s="27">
        <f>E35</f>
        <v>0.044</v>
      </c>
      <c r="F36" s="23">
        <v>25</v>
      </c>
      <c r="G36" s="6">
        <v>52</v>
      </c>
      <c r="H36" s="48" t="str">
        <f t="shared" si="6"/>
        <v>----</v>
      </c>
      <c r="I36" s="37">
        <f>G36/((3.14*(B36+2*F36)^2/4-3.14*B36^2/4)/1000000)</f>
        <v>11621.410213431667</v>
      </c>
      <c r="J36" s="38">
        <f>PI()/((1/(2*D36)*LN(B36/(B36-2*C36)))+(1/('Zadání parametrů'!D$14*(B36)/1000)))*('Zadání parametrů'!D$16-'Zadání parametrů'!D$9)</f>
        <v>30.94174211974235</v>
      </c>
      <c r="K36" s="39">
        <f>J36/1000*24*'Zadání parametrů'!$D$6</f>
        <v>162.62979658136578</v>
      </c>
      <c r="L36" s="39">
        <f>K36*'Zadání parametrů'!$D$18</f>
        <v>234.1875628023428</v>
      </c>
      <c r="M36" s="38">
        <f>PI()/((1/(2*D36)*LN(B36/(B36-2*C36)))+(1/(2*E36)*LN((B36+2*F36)/B36))+(1/('Zadání parametrů'!D$14*(B36+2*F36)/1000)))*('Zadání parametrů'!D$16-'Zadání parametrů'!D$9)</f>
        <v>8.964480127814364</v>
      </c>
      <c r="N36" s="39">
        <f>M36/1000*24*'Zadání parametrů'!$D$6</f>
        <v>47.117307551792294</v>
      </c>
      <c r="O36" s="39">
        <f>N36*'Zadání parametrů'!$D$18</f>
        <v>67.84911285209695</v>
      </c>
      <c r="P36" s="40">
        <f>L36-O36</f>
        <v>166.33844995024583</v>
      </c>
      <c r="Q36" s="8">
        <f>G36/P36*365</f>
        <v>114.10470643244051</v>
      </c>
      <c r="R36" s="45">
        <f>(O36*'Zadání parametrů'!$D$4)+G36</f>
        <v>119.84911285209695</v>
      </c>
    </row>
    <row r="37" spans="1:18" ht="12.75">
      <c r="A37" s="4"/>
      <c r="B37" s="24"/>
      <c r="C37" s="61"/>
      <c r="D37" s="27"/>
      <c r="E37" s="27"/>
      <c r="F37" s="23"/>
      <c r="G37" s="6"/>
      <c r="H37" s="48"/>
      <c r="I37" s="37"/>
      <c r="J37" s="38"/>
      <c r="K37" s="39"/>
      <c r="L37" s="39"/>
      <c r="M37" s="38"/>
      <c r="N37" s="39"/>
      <c r="O37" s="39"/>
      <c r="P37" s="40"/>
      <c r="Q37" s="8"/>
      <c r="R37" s="45"/>
    </row>
    <row r="38" spans="1:18" ht="12.75">
      <c r="A38" s="4" t="s">
        <v>15</v>
      </c>
      <c r="B38" s="24">
        <f aca="true" t="shared" si="7" ref="B38:C41">B$32</f>
        <v>32</v>
      </c>
      <c r="C38" s="61">
        <f t="shared" si="7"/>
        <v>4.4</v>
      </c>
      <c r="D38" s="27">
        <f>D$7</f>
        <v>0.35</v>
      </c>
      <c r="E38" s="50">
        <v>0.038</v>
      </c>
      <c r="F38" s="23">
        <v>20</v>
      </c>
      <c r="G38" s="6">
        <v>75</v>
      </c>
      <c r="H38" s="48" t="str">
        <f t="shared" si="6"/>
        <v>----</v>
      </c>
      <c r="I38" s="37">
        <f>G38/((3.14*(B38+2*F38)^2/4-3.14*B38^2/4)/1000000)</f>
        <v>22966.682998530134</v>
      </c>
      <c r="J38" s="38">
        <f>PI()/((1/(2*D38)*LN(B38/(B38-2*C38)))+(1/('Zadání parametrů'!D$14*(B38)/1000)))*('Zadání parametrů'!D$16-'Zadání parametrů'!D$9)</f>
        <v>30.94174211974235</v>
      </c>
      <c r="K38" s="39">
        <f>J38/1000*24*'Zadání parametrů'!$D$6</f>
        <v>162.62979658136578</v>
      </c>
      <c r="L38" s="39">
        <f>K38*'Zadání parametrů'!$D$18</f>
        <v>234.1875628023428</v>
      </c>
      <c r="M38" s="38">
        <f>PI()/((1/(2*D38)*LN(B38/(B38-2*C38)))+(1/(2*E38)*LN((B38+2*F38)/B38))+(1/('Zadání parametrů'!D$14*(B38+2*F38)/1000)))*('Zadání parametrů'!D$16-'Zadání parametrů'!D$9)</f>
        <v>8.859557790105457</v>
      </c>
      <c r="N38" s="39">
        <f>M38/1000*24*'Zadání parametrů'!$D$6</f>
        <v>46.565835744794285</v>
      </c>
      <c r="O38" s="39">
        <f>N38*'Zadání parametrů'!$D$18</f>
        <v>67.05499122647927</v>
      </c>
      <c r="P38" s="40">
        <f>L38-O38</f>
        <v>167.13257157586352</v>
      </c>
      <c r="Q38" s="8">
        <f>G38/P38*365</f>
        <v>163.7921306534445</v>
      </c>
      <c r="R38" s="45">
        <f>(O38*'Zadání parametrů'!$D$4)+G38</f>
        <v>142.05499122647927</v>
      </c>
    </row>
    <row r="39" spans="1:18" ht="12.75">
      <c r="A39" s="4" t="s">
        <v>15</v>
      </c>
      <c r="B39" s="24">
        <f t="shared" si="7"/>
        <v>32</v>
      </c>
      <c r="C39" s="61">
        <f t="shared" si="7"/>
        <v>4.4</v>
      </c>
      <c r="D39" s="27">
        <f>D$7</f>
        <v>0.35</v>
      </c>
      <c r="E39" s="27">
        <f>E38</f>
        <v>0.038</v>
      </c>
      <c r="F39" s="23">
        <v>25</v>
      </c>
      <c r="G39" s="6">
        <v>79</v>
      </c>
      <c r="H39" s="48" t="str">
        <f t="shared" si="6"/>
        <v>----</v>
      </c>
      <c r="I39" s="37">
        <f>G39/((3.14*(B39+2*F39)^2/4-3.14*B39^2/4)/1000000)</f>
        <v>17655.603978098112</v>
      </c>
      <c r="J39" s="38">
        <f>PI()/((1/(2*D39)*LN(B39/(B39-2*C39)))+(1/('Zadání parametrů'!D$14*(B39)/1000)))*('Zadání parametrů'!D$16-'Zadání parametrů'!D$9)</f>
        <v>30.94174211974235</v>
      </c>
      <c r="K39" s="39">
        <f>J39/1000*24*'Zadání parametrů'!$D$6</f>
        <v>162.62979658136578</v>
      </c>
      <c r="L39" s="39">
        <f>K39*'Zadání parametrů'!$D$18</f>
        <v>234.1875628023428</v>
      </c>
      <c r="M39" s="38">
        <f>PI()/((1/(2*D39)*LN(B39/(B39-2*C39)))+(1/(2*E39)*LN((B39+2*F39)/B39))+(1/('Zadání parametrů'!D$14*(B39+2*F39)/1000)))*('Zadání parametrů'!D$16-'Zadání parametrů'!D$9)</f>
        <v>7.888019512276467</v>
      </c>
      <c r="N39" s="39">
        <f>M39/1000*24*'Zadání parametrů'!$D$6</f>
        <v>41.45943055652511</v>
      </c>
      <c r="O39" s="39">
        <f>N39*'Zadání parametrů'!$D$18</f>
        <v>59.701747166288285</v>
      </c>
      <c r="P39" s="40">
        <f>L39-O39</f>
        <v>174.4858156360545</v>
      </c>
      <c r="Q39" s="8">
        <f>G39/P39*365</f>
        <v>165.25698604718986</v>
      </c>
      <c r="R39" s="45">
        <f>(O39*'Zadání parametrů'!$D$4)+G39</f>
        <v>138.70174716628827</v>
      </c>
    </row>
    <row r="40" spans="1:18" ht="12.75">
      <c r="A40" s="4" t="s">
        <v>15</v>
      </c>
      <c r="B40" s="24">
        <f t="shared" si="7"/>
        <v>32</v>
      </c>
      <c r="C40" s="61">
        <f t="shared" si="7"/>
        <v>4.4</v>
      </c>
      <c r="D40" s="27">
        <f>D$7</f>
        <v>0.35</v>
      </c>
      <c r="E40" s="27">
        <f>E39</f>
        <v>0.038</v>
      </c>
      <c r="F40" s="23">
        <v>30</v>
      </c>
      <c r="G40" s="6">
        <v>83</v>
      </c>
      <c r="H40" s="48" t="str">
        <f t="shared" si="6"/>
        <v>----</v>
      </c>
      <c r="I40" s="37">
        <f>G40/((3.14*(B40+2*F40)^2/4-3.14*B40^2/4)/1000000)</f>
        <v>14211.355386617353</v>
      </c>
      <c r="J40" s="38">
        <f>PI()/((1/(2*D40)*LN(B40/(B40-2*C40)))+(1/('Zadání parametrů'!D$14*(B40)/1000)))*('Zadání parametrů'!D$16-'Zadání parametrů'!D$9)</f>
        <v>30.94174211974235</v>
      </c>
      <c r="K40" s="39">
        <f>J40/1000*24*'Zadání parametrů'!$D$6</f>
        <v>162.62979658136578</v>
      </c>
      <c r="L40" s="39">
        <f>K40*'Zadání parametrů'!$D$18</f>
        <v>234.1875628023428</v>
      </c>
      <c r="M40" s="38">
        <f>PI()/((1/(2*D40)*LN(B40/(B40-2*C40)))+(1/(2*E40)*LN((B40+2*F40)/B40))+(1/('Zadání parametrů'!D$14*(B40+2*F40)/1000)))*('Zadání parametrů'!D$16-'Zadání parametrů'!D$9)</f>
        <v>7.182310405057676</v>
      </c>
      <c r="N40" s="39">
        <f>M40/1000*24*'Zadání parametrů'!$D$6</f>
        <v>37.750223488983146</v>
      </c>
      <c r="O40" s="39">
        <f>N40*'Zadání parametrů'!$D$18</f>
        <v>54.36047403346308</v>
      </c>
      <c r="P40" s="40">
        <f>L40-O40</f>
        <v>179.82708876887972</v>
      </c>
      <c r="Q40" s="8">
        <f>G40/P40*365</f>
        <v>168.46738835290955</v>
      </c>
      <c r="R40" s="45">
        <f>(O40*'Zadání parametrů'!$D$4)+G40</f>
        <v>137.36047403346308</v>
      </c>
    </row>
    <row r="41" spans="1:18" ht="12.75">
      <c r="A41" s="4" t="s">
        <v>15</v>
      </c>
      <c r="B41" s="24">
        <f t="shared" si="7"/>
        <v>32</v>
      </c>
      <c r="C41" s="61">
        <f t="shared" si="7"/>
        <v>4.4</v>
      </c>
      <c r="D41" s="27">
        <f>D$7</f>
        <v>0.35</v>
      </c>
      <c r="E41" s="27">
        <f>E40</f>
        <v>0.038</v>
      </c>
      <c r="F41" s="23">
        <v>40</v>
      </c>
      <c r="G41" s="6">
        <v>96</v>
      </c>
      <c r="H41" s="48" t="str">
        <f t="shared" si="6"/>
        <v>----</v>
      </c>
      <c r="I41" s="37">
        <f>G41/((3.14*(B41+2*F41)^2/4-3.14*B41^2/4)/1000000)</f>
        <v>10615.711252653926</v>
      </c>
      <c r="J41" s="38">
        <f>PI()/((1/(2*D41)*LN(B41/(B41-2*C41)))+(1/('Zadání parametrů'!D$14*(B41)/1000)))*('Zadání parametrů'!D$16-'Zadání parametrů'!D$9)</f>
        <v>30.94174211974235</v>
      </c>
      <c r="K41" s="39">
        <f>J41/1000*24*'Zadání parametrů'!$D$6</f>
        <v>162.62979658136578</v>
      </c>
      <c r="L41" s="39">
        <f>K41*'Zadání parametrů'!$D$18</f>
        <v>234.1875628023428</v>
      </c>
      <c r="M41" s="38">
        <f>PI()/((1/(2*D41)*LN(B41/(B41-2*C41)))+(1/(2*E41)*LN((B41+2*F41)/B41))+(1/('Zadání parametrů'!D$14*(B41+2*F41)/1000)))*('Zadání parametrů'!D$16-'Zadání parametrů'!D$9)</f>
        <v>6.218200844057809</v>
      </c>
      <c r="N41" s="39">
        <f>M41/1000*24*'Zadání parametrů'!$D$6</f>
        <v>32.68286363636784</v>
      </c>
      <c r="O41" s="39">
        <f>N41*'Zadání parametrů'!$D$18</f>
        <v>47.063455414044896</v>
      </c>
      <c r="P41" s="40">
        <f>L41-O41</f>
        <v>187.1241073882979</v>
      </c>
      <c r="Q41" s="8">
        <f>G41/P41*365</f>
        <v>187.25540225177465</v>
      </c>
      <c r="R41" s="45">
        <f>(O41*'Zadání parametrů'!$D$4)+G41</f>
        <v>143.06345541404488</v>
      </c>
    </row>
    <row r="42" spans="1:18" ht="15.75" customHeight="1">
      <c r="A42" s="42"/>
      <c r="B42" s="22"/>
      <c r="C42" s="25"/>
      <c r="D42" s="25"/>
      <c r="E42" s="25"/>
      <c r="F42" s="22"/>
      <c r="G42" s="25"/>
      <c r="H42" s="22"/>
      <c r="I42" s="31"/>
      <c r="J42" s="31"/>
      <c r="K42" s="33"/>
      <c r="L42" s="33"/>
      <c r="M42" s="33"/>
      <c r="N42" s="33"/>
      <c r="O42" s="49" t="s">
        <v>60</v>
      </c>
      <c r="P42" s="34"/>
      <c r="Q42" s="8"/>
      <c r="R42" s="47">
        <f>MIN(R32:R41)</f>
        <v>110.87381290811729</v>
      </c>
    </row>
    <row r="43" spans="1:18" ht="21.75" customHeight="1">
      <c r="A43" s="5" t="s">
        <v>77</v>
      </c>
      <c r="B43" s="22"/>
      <c r="C43" s="42"/>
      <c r="D43" s="42"/>
      <c r="E43" s="25"/>
      <c r="F43" s="22"/>
      <c r="G43" s="25"/>
      <c r="H43" s="22"/>
      <c r="I43" s="31"/>
      <c r="J43" s="31"/>
      <c r="K43" s="33"/>
      <c r="L43" s="33"/>
      <c r="M43" s="33"/>
      <c r="N43" s="33"/>
      <c r="O43" s="33"/>
      <c r="P43" s="34"/>
      <c r="Q43" s="35"/>
      <c r="R43" s="43"/>
    </row>
    <row r="44" spans="1:18" ht="12.75">
      <c r="A44" s="4" t="s">
        <v>15</v>
      </c>
      <c r="B44" s="23">
        <v>40</v>
      </c>
      <c r="C44" s="6">
        <v>5.5</v>
      </c>
      <c r="D44" s="27">
        <f>D$7</f>
        <v>0.35</v>
      </c>
      <c r="E44" s="50">
        <v>0.038</v>
      </c>
      <c r="F44" s="23">
        <v>20</v>
      </c>
      <c r="G44" s="6">
        <v>77</v>
      </c>
      <c r="H44" s="48" t="str">
        <f>IF(R44=R$49,"OPTIMÁLNÍ","----")</f>
        <v>----</v>
      </c>
      <c r="I44" s="37">
        <f>G44/((3.14*(B44+2*F44)^2/4-3.14*B44^2/4)/1000000)</f>
        <v>20435.24416135881</v>
      </c>
      <c r="J44" s="38">
        <f>PI()/((1/(2*D44)*LN(B44/(B44-2*C44)))+(1/('Zadání parametrů'!D$14*(B44)/1000)))*('Zadání parametrů'!D$16-'Zadání parametrů'!D$9)</f>
        <v>37.476362310654984</v>
      </c>
      <c r="K44" s="39">
        <f>J44/1000*24*'Zadání parametrů'!$D$6</f>
        <v>196.9757603048026</v>
      </c>
      <c r="L44" s="39">
        <f>K44*'Zadání parametrů'!$D$18</f>
        <v>283.6458890474054</v>
      </c>
      <c r="M44" s="38">
        <f>PI()/((1/(2*D44)*LN(B44/(B44-2*C44)))+(1/(2*E44)*LN((B44+2*F44)/B44))+(1/('Zadání parametrů'!D$14*(B44+2*F44)/1000)))*('Zadání parametrů'!D$16-'Zadání parametrů'!D$9)</f>
        <v>10.24101289483646</v>
      </c>
      <c r="N44" s="39">
        <f>M44/1000*24*'Zadání parametrů'!$D$6</f>
        <v>53.82676377526044</v>
      </c>
      <c r="O44" s="39">
        <f>N44*'Zadání parametrů'!$D$18</f>
        <v>77.51075686649433</v>
      </c>
      <c r="P44" s="40">
        <f>L44-O44</f>
        <v>206.13513218091106</v>
      </c>
      <c r="Q44" s="8">
        <f>G44/P44*365</f>
        <v>136.34260061663878</v>
      </c>
      <c r="R44" s="45">
        <f>(O44*'Zadání parametrů'!$D$4)+G44</f>
        <v>154.51075686649432</v>
      </c>
    </row>
    <row r="45" spans="1:18" ht="12.75">
      <c r="A45" s="4" t="s">
        <v>15</v>
      </c>
      <c r="B45" s="24">
        <f aca="true" t="shared" si="8" ref="B45:C48">B$44</f>
        <v>40</v>
      </c>
      <c r="C45" s="61">
        <f t="shared" si="8"/>
        <v>5.5</v>
      </c>
      <c r="D45" s="27">
        <f>D$7</f>
        <v>0.35</v>
      </c>
      <c r="E45" s="27">
        <f>E44</f>
        <v>0.038</v>
      </c>
      <c r="F45" s="23">
        <v>25</v>
      </c>
      <c r="G45" s="6">
        <v>83</v>
      </c>
      <c r="H45" s="48" t="str">
        <f>IF(R45=R$49,"OPTIMÁLNÍ","----")</f>
        <v>----</v>
      </c>
      <c r="I45" s="37">
        <f>G45/((3.14*(B45+2*F45)^2/4-3.14*B45^2/4)/1000000)</f>
        <v>16266.53601175894</v>
      </c>
      <c r="J45" s="38">
        <f>PI()/((1/(2*D45)*LN(B45/(B45-2*C45)))+(1/('Zadání parametrů'!D$14*(B45)/1000)))*('Zadání parametrů'!D$16-'Zadání parametrů'!D$9)</f>
        <v>37.476362310654984</v>
      </c>
      <c r="K45" s="39">
        <f>J45/1000*24*'Zadání parametrů'!$D$6</f>
        <v>196.9757603048026</v>
      </c>
      <c r="L45" s="39">
        <f>K45*'Zadání parametrů'!$D$18</f>
        <v>283.6458890474054</v>
      </c>
      <c r="M45" s="38">
        <f>PI()/((1/(2*D45)*LN(B45/(B45-2*C45)))+(1/(2*E45)*LN((B45+2*F45)/B45))+(1/('Zadání parametrů'!D$14*(B45+2*F45)/1000)))*('Zadání parametrů'!D$16-'Zadání parametrů'!D$9)</f>
        <v>9.060608235287209</v>
      </c>
      <c r="N45" s="39">
        <f>M45/1000*24*'Zadání parametrů'!$D$6</f>
        <v>47.62255688466957</v>
      </c>
      <c r="O45" s="39">
        <f>N45*'Zadání parametrů'!$D$18</f>
        <v>68.57667392861124</v>
      </c>
      <c r="P45" s="40">
        <f>L45-O45</f>
        <v>215.06921511879415</v>
      </c>
      <c r="Q45" s="8">
        <f>G45/P45*365</f>
        <v>140.86162904935725</v>
      </c>
      <c r="R45" s="45">
        <f>(O45*'Zadání parametrů'!$D$4)+G45</f>
        <v>151.57667392861123</v>
      </c>
    </row>
    <row r="46" spans="1:18" ht="12.75">
      <c r="A46" s="4" t="s">
        <v>15</v>
      </c>
      <c r="B46" s="24">
        <f t="shared" si="8"/>
        <v>40</v>
      </c>
      <c r="C46" s="61">
        <f t="shared" si="8"/>
        <v>5.5</v>
      </c>
      <c r="D46" s="27">
        <f>D$7</f>
        <v>0.35</v>
      </c>
      <c r="E46" s="27">
        <f>E45</f>
        <v>0.038</v>
      </c>
      <c r="F46" s="23">
        <v>30</v>
      </c>
      <c r="G46" s="6">
        <v>89</v>
      </c>
      <c r="H46" s="48" t="str">
        <f>IF(R46=R$49,"OPTIMÁLNÍ","----")</f>
        <v>OPTIMÁLNÍ</v>
      </c>
      <c r="I46" s="37">
        <f>G46/((3.14*(B46+2*F46)^2/4-3.14*B46^2/4)/1000000)</f>
        <v>13497.118592659994</v>
      </c>
      <c r="J46" s="38">
        <f>PI()/((1/(2*D46)*LN(B46/(B46-2*C46)))+(1/('Zadání parametrů'!D$14*(B46)/1000)))*('Zadání parametrů'!D$16-'Zadání parametrů'!D$9)</f>
        <v>37.476362310654984</v>
      </c>
      <c r="K46" s="39">
        <f>J46/1000*24*'Zadání parametrů'!$D$6</f>
        <v>196.9757603048026</v>
      </c>
      <c r="L46" s="39">
        <f>K46*'Zadání parametrů'!$D$18</f>
        <v>283.6458890474054</v>
      </c>
      <c r="M46" s="38">
        <f>PI()/((1/(2*D46)*LN(B46/(B46-2*C46)))+(1/(2*E46)*LN((B46+2*F46)/B46))+(1/('Zadání parametrů'!D$14*(B46+2*F46)/1000)))*('Zadání parametrů'!D$16-'Zadání parametrů'!D$9)</f>
        <v>8.205746641091908</v>
      </c>
      <c r="N46" s="39">
        <f>M46/1000*24*'Zadání parametrů'!$D$6</f>
        <v>43.12940434557907</v>
      </c>
      <c r="O46" s="39">
        <f>N46*'Zadání parametrů'!$D$18</f>
        <v>62.106516155879156</v>
      </c>
      <c r="P46" s="40">
        <f>L46-O46</f>
        <v>221.53937289152623</v>
      </c>
      <c r="Q46" s="8">
        <f>G46/P46*365</f>
        <v>146.63307734425086</v>
      </c>
      <c r="R46" s="45">
        <f>(O46*'Zadání parametrů'!$D$4)+G46</f>
        <v>151.10651615587915</v>
      </c>
    </row>
    <row r="47" spans="1:18" ht="12.75">
      <c r="A47" s="4" t="s">
        <v>15</v>
      </c>
      <c r="B47" s="24">
        <f t="shared" si="8"/>
        <v>40</v>
      </c>
      <c r="C47" s="61">
        <f t="shared" si="8"/>
        <v>5.5</v>
      </c>
      <c r="D47" s="27">
        <f>D$7</f>
        <v>0.35</v>
      </c>
      <c r="E47" s="27">
        <f>E46</f>
        <v>0.038</v>
      </c>
      <c r="F47" s="23">
        <v>40</v>
      </c>
      <c r="G47" s="6">
        <v>102</v>
      </c>
      <c r="H47" s="48" t="str">
        <f>IF(R47=R$49,"OPTIMÁLNÍ","----")</f>
        <v>----</v>
      </c>
      <c r="I47" s="37">
        <f>G47/((3.14*(B47+2*F47)^2/4-3.14*B47^2/4)/1000000)</f>
        <v>10151.27388535032</v>
      </c>
      <c r="J47" s="38">
        <f>PI()/((1/(2*D47)*LN(B47/(B47-2*C47)))+(1/('Zadání parametrů'!D$14*(B47)/1000)))*('Zadání parametrů'!D$16-'Zadání parametrů'!D$9)</f>
        <v>37.476362310654984</v>
      </c>
      <c r="K47" s="39">
        <f>J47/1000*24*'Zadání parametrů'!$D$6</f>
        <v>196.9757603048026</v>
      </c>
      <c r="L47" s="39">
        <f>K47*'Zadání parametrů'!$D$18</f>
        <v>283.6458890474054</v>
      </c>
      <c r="M47" s="38">
        <f>PI()/((1/(2*D47)*LN(B47/(B47-2*C47)))+(1/(2*E47)*LN((B47+2*F47)/B47))+(1/('Zadání parametrů'!D$14*(B47+2*F47)/1000)))*('Zadání parametrů'!D$16-'Zadání parametrů'!D$9)</f>
        <v>7.042582560466302</v>
      </c>
      <c r="N47" s="39">
        <f>M47/1000*24*'Zadání parametrů'!$D$6</f>
        <v>37.01581393781088</v>
      </c>
      <c r="O47" s="39">
        <f>N47*'Zadání parametrů'!$D$18</f>
        <v>53.30292131862741</v>
      </c>
      <c r="P47" s="40">
        <f>L47-O47</f>
        <v>230.34296772877798</v>
      </c>
      <c r="Q47" s="8">
        <f>G47/P47*365</f>
        <v>161.62855053529233</v>
      </c>
      <c r="R47" s="45">
        <f>(O47*'Zadání parametrů'!$D$4)+G47</f>
        <v>155.3029213186274</v>
      </c>
    </row>
    <row r="48" spans="1:18" ht="12.75">
      <c r="A48" s="4" t="s">
        <v>15</v>
      </c>
      <c r="B48" s="24">
        <f t="shared" si="8"/>
        <v>40</v>
      </c>
      <c r="C48" s="61">
        <f t="shared" si="8"/>
        <v>5.5</v>
      </c>
      <c r="D48" s="27">
        <f>D$7</f>
        <v>0.35</v>
      </c>
      <c r="E48" s="27">
        <f>E47</f>
        <v>0.038</v>
      </c>
      <c r="F48" s="23">
        <v>50</v>
      </c>
      <c r="G48" s="6">
        <v>115</v>
      </c>
      <c r="H48" s="48" t="str">
        <f>IF(R48=R$49,"OPTIMÁLNÍ","----")</f>
        <v>----</v>
      </c>
      <c r="I48" s="37">
        <f>G48/((3.14*(B48+2*F48)^2/4-3.14*B48^2/4)/1000000)</f>
        <v>8138.711960368011</v>
      </c>
      <c r="J48" s="38">
        <f>PI()/((1/(2*D48)*LN(B48/(B48-2*C48)))+(1/('Zadání parametrů'!D$14*(B48)/1000)))*('Zadání parametrů'!D$16-'Zadání parametrů'!D$9)</f>
        <v>37.476362310654984</v>
      </c>
      <c r="K48" s="39">
        <f>J48/1000*24*'Zadání parametrů'!$D$6</f>
        <v>196.9757603048026</v>
      </c>
      <c r="L48" s="39">
        <f>K48*'Zadání parametrů'!$D$18</f>
        <v>283.6458890474054</v>
      </c>
      <c r="M48" s="38">
        <f>PI()/((1/(2*D48)*LN(B48/(B48-2*C48)))+(1/(2*E48)*LN((B48+2*F48)/B48))+(1/('Zadání parametrů'!D$14*(B48+2*F48)/1000)))*('Zadání parametrů'!D$16-'Zadání parametrů'!D$9)</f>
        <v>6.281086213213501</v>
      </c>
      <c r="N48" s="39">
        <f>M48/1000*24*'Zadání parametrů'!$D$6</f>
        <v>33.01338913665017</v>
      </c>
      <c r="O48" s="39">
        <f>N48*'Zadání parametrů'!$D$18</f>
        <v>47.539413467134</v>
      </c>
      <c r="P48" s="40">
        <f>L48-O48</f>
        <v>236.10647558027136</v>
      </c>
      <c r="Q48" s="8">
        <f>G48/P48*365</f>
        <v>177.77996091314048</v>
      </c>
      <c r="R48" s="45">
        <f>(O48*'Zadání parametrů'!$D$4)+G48</f>
        <v>162.539413467134</v>
      </c>
    </row>
    <row r="49" spans="1:18" ht="15.75" customHeight="1">
      <c r="A49" s="42"/>
      <c r="B49" s="22"/>
      <c r="C49" s="25"/>
      <c r="D49" s="25"/>
      <c r="E49" s="25"/>
      <c r="F49" s="22"/>
      <c r="G49" s="25"/>
      <c r="H49" s="22"/>
      <c r="I49" s="31"/>
      <c r="J49" s="31"/>
      <c r="K49" s="33"/>
      <c r="L49" s="33"/>
      <c r="M49" s="33"/>
      <c r="N49" s="33"/>
      <c r="O49" s="49" t="s">
        <v>60</v>
      </c>
      <c r="P49" s="34"/>
      <c r="Q49" s="8"/>
      <c r="R49" s="47">
        <f>MIN(R44:R48)</f>
        <v>151.10651615587915</v>
      </c>
    </row>
    <row r="50" spans="1:18" ht="21.75" customHeight="1">
      <c r="A50" s="5" t="s">
        <v>78</v>
      </c>
      <c r="B50" s="22"/>
      <c r="C50" s="42"/>
      <c r="D50" s="42"/>
      <c r="E50" s="25"/>
      <c r="F50" s="22"/>
      <c r="G50" s="25"/>
      <c r="H50" s="22"/>
      <c r="I50" s="31"/>
      <c r="J50" s="31"/>
      <c r="K50" s="33"/>
      <c r="L50" s="33"/>
      <c r="M50" s="33"/>
      <c r="N50" s="33"/>
      <c r="O50" s="33"/>
      <c r="P50" s="34"/>
      <c r="Q50" s="35"/>
      <c r="R50" s="43"/>
    </row>
    <row r="51" spans="1:18" ht="12.75">
      <c r="A51" s="4" t="s">
        <v>15</v>
      </c>
      <c r="B51" s="23">
        <v>50</v>
      </c>
      <c r="C51" s="6">
        <v>6.9</v>
      </c>
      <c r="D51" s="27">
        <f aca="true" t="shared" si="9" ref="D51:D56">D$7</f>
        <v>0.35</v>
      </c>
      <c r="E51" s="50">
        <v>0.038</v>
      </c>
      <c r="F51" s="23">
        <v>20</v>
      </c>
      <c r="G51" s="6">
        <v>79</v>
      </c>
      <c r="H51" s="48" t="str">
        <f aca="true" t="shared" si="10" ref="H51:H56">IF(R51=R$57,"OPTIMÁLNÍ","----")</f>
        <v>----</v>
      </c>
      <c r="I51" s="37">
        <f aca="true" t="shared" si="11" ref="I51:I56">G51/((3.14*(B51+2*F51)^2/4-3.14*B51^2/4)/1000000)</f>
        <v>17970.88262056415</v>
      </c>
      <c r="J51" s="38">
        <f>PI()/((1/(2*D51)*LN(B51/(B51-2*C51)))+(1/('Zadání parametrů'!D$14*(B51)/1000)))*('Zadání parametrů'!D$16-'Zadání parametrů'!D$9)</f>
        <v>45.059225592930524</v>
      </c>
      <c r="K51" s="39">
        <f>J51/1000*24*'Zadání parametrů'!$D$6</f>
        <v>236.83128971644285</v>
      </c>
      <c r="L51" s="39">
        <f>K51*'Zadání parametrů'!$D$18</f>
        <v>341.0380120981119</v>
      </c>
      <c r="M51" s="38">
        <f>PI()/((1/(2*D51)*LN(B51/(B51-2*C51)))+(1/(2*E51)*LN((B51+2*F51)/B51))+(1/('Zadání parametrů'!D$14*(B51+2*F51)/1000)))*('Zadání parametrů'!D$16-'Zadání parametrů'!D$9)</f>
        <v>11.917204608513394</v>
      </c>
      <c r="N51" s="39">
        <f>M51/1000*24*'Zadání parametrů'!$D$6</f>
        <v>62.63682742234641</v>
      </c>
      <c r="O51" s="39">
        <f>N51*'Zadání parametrů'!$D$18</f>
        <v>90.19728404057423</v>
      </c>
      <c r="P51" s="40">
        <f aca="true" t="shared" si="12" ref="P51:P56">L51-O51</f>
        <v>250.84072805753766</v>
      </c>
      <c r="Q51" s="8">
        <f aca="true" t="shared" si="13" ref="Q51:Q56">G51/P51*365</f>
        <v>114.95342173215926</v>
      </c>
      <c r="R51" s="45">
        <f>(O51*'Zadání parametrů'!$D$4)+G51</f>
        <v>169.19728404057423</v>
      </c>
    </row>
    <row r="52" spans="1:18" ht="12.75">
      <c r="A52" s="4" t="s">
        <v>15</v>
      </c>
      <c r="B52" s="24">
        <f aca="true" t="shared" si="14" ref="B52:C56">B$51</f>
        <v>50</v>
      </c>
      <c r="C52" s="61">
        <f t="shared" si="14"/>
        <v>6.9</v>
      </c>
      <c r="D52" s="27">
        <f t="shared" si="9"/>
        <v>0.35</v>
      </c>
      <c r="E52" s="27">
        <f>E51</f>
        <v>0.038</v>
      </c>
      <c r="F52" s="23">
        <v>25</v>
      </c>
      <c r="G52" s="6">
        <v>86</v>
      </c>
      <c r="H52" s="48" t="str">
        <f t="shared" si="10"/>
        <v>OPTIMÁLNÍ</v>
      </c>
      <c r="I52" s="37">
        <f t="shared" si="11"/>
        <v>14607.218683651803</v>
      </c>
      <c r="J52" s="38">
        <f>PI()/((1/(2*D52)*LN(B52/(B52-2*C52)))+(1/('Zadání parametrů'!D$14*(B52)/1000)))*('Zadání parametrů'!D$16-'Zadání parametrů'!D$9)</f>
        <v>45.059225592930524</v>
      </c>
      <c r="K52" s="39">
        <f>J52/1000*24*'Zadání parametrů'!$D$6</f>
        <v>236.83128971644285</v>
      </c>
      <c r="L52" s="39">
        <f>K52*'Zadání parametrů'!$D$18</f>
        <v>341.0380120981119</v>
      </c>
      <c r="M52" s="38">
        <f>PI()/((1/(2*D52)*LN(B52/(B52-2*C52)))+(1/(2*E52)*LN((B52+2*F52)/B52))+(1/('Zadání parametrů'!D$14*(B52+2*F52)/1000)))*('Zadání parametrů'!D$16-'Zadání parametrů'!D$9)</f>
        <v>10.481054820818017</v>
      </c>
      <c r="N52" s="39">
        <f>M52/1000*24*'Zadání parametrů'!$D$6</f>
        <v>55.088424138219494</v>
      </c>
      <c r="O52" s="39">
        <f>N52*'Zadání parametrů'!$D$18</f>
        <v>79.3275528761842</v>
      </c>
      <c r="P52" s="40">
        <f t="shared" si="12"/>
        <v>261.7104592219277</v>
      </c>
      <c r="Q52" s="8">
        <f t="shared" si="13"/>
        <v>119.94170998485626</v>
      </c>
      <c r="R52" s="45">
        <f>(O52*'Zadání parametrů'!$D$4)+G52</f>
        <v>165.3275528761842</v>
      </c>
    </row>
    <row r="53" spans="1:18" ht="12.75">
      <c r="A53" s="4" t="s">
        <v>15</v>
      </c>
      <c r="B53" s="24">
        <f t="shared" si="14"/>
        <v>50</v>
      </c>
      <c r="C53" s="61">
        <f t="shared" si="14"/>
        <v>6.9</v>
      </c>
      <c r="D53" s="27">
        <f t="shared" si="9"/>
        <v>0.35</v>
      </c>
      <c r="E53" s="27">
        <f>E52</f>
        <v>0.038</v>
      </c>
      <c r="F53" s="23">
        <v>30</v>
      </c>
      <c r="G53" s="6">
        <v>95</v>
      </c>
      <c r="H53" s="48" t="str">
        <f t="shared" si="10"/>
        <v>----</v>
      </c>
      <c r="I53" s="37">
        <f t="shared" si="11"/>
        <v>12606.157112526538</v>
      </c>
      <c r="J53" s="38">
        <f>PI()/((1/(2*D53)*LN(B53/(B53-2*C53)))+(1/('Zadání parametrů'!D$14*(B53)/1000)))*('Zadání parametrů'!D$16-'Zadání parametrů'!D$9)</f>
        <v>45.059225592930524</v>
      </c>
      <c r="K53" s="39">
        <f>J53/1000*24*'Zadání parametrů'!$D$6</f>
        <v>236.83128971644285</v>
      </c>
      <c r="L53" s="39">
        <f>K53*'Zadání parametrů'!$D$18</f>
        <v>341.0380120981119</v>
      </c>
      <c r="M53" s="38">
        <f>PI()/((1/(2*D53)*LN(B53/(B53-2*C53)))+(1/(2*E53)*LN((B53+2*F53)/B53))+(1/('Zadání parametrů'!D$14*(B53+2*F53)/1000)))*('Zadání parametrů'!D$16-'Zadání parametrů'!D$9)</f>
        <v>9.443049837727445</v>
      </c>
      <c r="N53" s="39">
        <f>M53/1000*24*'Zadání parametrů'!$D$6</f>
        <v>49.63266994709545</v>
      </c>
      <c r="O53" s="39">
        <f>N53*'Zadání parametrů'!$D$18</f>
        <v>71.47124484330308</v>
      </c>
      <c r="P53" s="40">
        <f t="shared" si="12"/>
        <v>269.56676725480884</v>
      </c>
      <c r="Q53" s="8">
        <f t="shared" si="13"/>
        <v>128.63232494539415</v>
      </c>
      <c r="R53" s="45">
        <f>(O53*'Zadání parametrů'!$D$4)+G53</f>
        <v>166.47124484330308</v>
      </c>
    </row>
    <row r="54" spans="1:18" ht="12.75">
      <c r="A54" s="4" t="s">
        <v>15</v>
      </c>
      <c r="B54" s="24">
        <f t="shared" si="14"/>
        <v>50</v>
      </c>
      <c r="C54" s="61">
        <f t="shared" si="14"/>
        <v>6.9</v>
      </c>
      <c r="D54" s="27">
        <f t="shared" si="9"/>
        <v>0.35</v>
      </c>
      <c r="E54" s="27">
        <f>E53</f>
        <v>0.038</v>
      </c>
      <c r="F54" s="23">
        <v>40</v>
      </c>
      <c r="G54" s="6">
        <v>106</v>
      </c>
      <c r="H54" s="48" t="str">
        <f t="shared" si="10"/>
        <v>----</v>
      </c>
      <c r="I54" s="37">
        <f t="shared" si="11"/>
        <v>9377.21160651097</v>
      </c>
      <c r="J54" s="38">
        <f>PI()/((1/(2*D54)*LN(B54/(B54-2*C54)))+(1/('Zadání parametrů'!D$14*(B54)/1000)))*('Zadání parametrů'!D$16-'Zadání parametrů'!D$9)</f>
        <v>45.059225592930524</v>
      </c>
      <c r="K54" s="39">
        <f>J54/1000*24*'Zadání parametrů'!$D$6</f>
        <v>236.83128971644285</v>
      </c>
      <c r="L54" s="39">
        <f>K54*'Zadání parametrů'!$D$18</f>
        <v>341.0380120981119</v>
      </c>
      <c r="M54" s="38">
        <f>PI()/((1/(2*D54)*LN(B54/(B54-2*C54)))+(1/(2*E54)*LN((B54+2*F54)/B54))+(1/('Zadání parametrů'!D$14*(B54+2*F54)/1000)))*('Zadání parametrů'!D$16-'Zadání parametrů'!D$9)</f>
        <v>8.034972260192319</v>
      </c>
      <c r="N54" s="39">
        <f>M54/1000*24*'Zadání parametrů'!$D$6</f>
        <v>42.23181419957083</v>
      </c>
      <c r="O54" s="39">
        <f>N54*'Zadání parametrů'!$D$18</f>
        <v>60.81398272653368</v>
      </c>
      <c r="P54" s="40">
        <f t="shared" si="12"/>
        <v>280.22402937157824</v>
      </c>
      <c r="Q54" s="8">
        <f t="shared" si="13"/>
        <v>138.06810246346467</v>
      </c>
      <c r="R54" s="45">
        <f>(O54*'Zadání parametrů'!$D$4)+G54</f>
        <v>166.81398272653368</v>
      </c>
    </row>
    <row r="55" spans="1:18" ht="12.75">
      <c r="A55" s="4" t="s">
        <v>15</v>
      </c>
      <c r="B55" s="24">
        <f t="shared" si="14"/>
        <v>50</v>
      </c>
      <c r="C55" s="61">
        <f t="shared" si="14"/>
        <v>6.9</v>
      </c>
      <c r="D55" s="27">
        <f t="shared" si="9"/>
        <v>0.35</v>
      </c>
      <c r="E55" s="27">
        <f>E54</f>
        <v>0.038</v>
      </c>
      <c r="F55" s="23">
        <v>50</v>
      </c>
      <c r="G55" s="6">
        <v>118</v>
      </c>
      <c r="H55" s="48" t="str">
        <f t="shared" si="10"/>
        <v>----</v>
      </c>
      <c r="I55" s="37">
        <f t="shared" si="11"/>
        <v>7515.923566878982</v>
      </c>
      <c r="J55" s="38">
        <f>PI()/((1/(2*D55)*LN(B55/(B55-2*C55)))+(1/('Zadání parametrů'!D$14*(B55)/1000)))*('Zadání parametrů'!D$16-'Zadání parametrů'!D$9)</f>
        <v>45.059225592930524</v>
      </c>
      <c r="K55" s="39">
        <f>J55/1000*24*'Zadání parametrů'!$D$6</f>
        <v>236.83128971644285</v>
      </c>
      <c r="L55" s="39">
        <f>K55*'Zadání parametrů'!$D$18</f>
        <v>341.0380120981119</v>
      </c>
      <c r="M55" s="38">
        <f>PI()/((1/(2*D55)*LN(B55/(B55-2*C55)))+(1/(2*E55)*LN((B55+2*F55)/B55))+(1/('Zadání parametrů'!D$14*(B55+2*F55)/1000)))*('Zadání parametrů'!D$16-'Zadání parametrů'!D$9)</f>
        <v>7.117012535478809</v>
      </c>
      <c r="N55" s="39">
        <f>M55/1000*24*'Zadání parametrů'!$D$6</f>
        <v>37.407017886476616</v>
      </c>
      <c r="O55" s="39">
        <f>N55*'Zadání parametrů'!$D$18</f>
        <v>53.86625658204481</v>
      </c>
      <c r="P55" s="40">
        <f t="shared" si="12"/>
        <v>287.1717555160671</v>
      </c>
      <c r="Q55" s="8">
        <f t="shared" si="13"/>
        <v>149.9799307303056</v>
      </c>
      <c r="R55" s="45">
        <f>(O55*'Zadání parametrů'!$D$4)+G55</f>
        <v>171.8662565820448</v>
      </c>
    </row>
    <row r="56" spans="1:18" ht="12.75">
      <c r="A56" s="4" t="s">
        <v>15</v>
      </c>
      <c r="B56" s="24">
        <f t="shared" si="14"/>
        <v>50</v>
      </c>
      <c r="C56" s="61">
        <f t="shared" si="14"/>
        <v>6.9</v>
      </c>
      <c r="D56" s="27">
        <f t="shared" si="9"/>
        <v>0.35</v>
      </c>
      <c r="E56" s="27">
        <f>E55</f>
        <v>0.038</v>
      </c>
      <c r="F56" s="23">
        <v>60</v>
      </c>
      <c r="G56" s="6">
        <v>142</v>
      </c>
      <c r="H56" s="48" t="str">
        <f t="shared" si="10"/>
        <v>----</v>
      </c>
      <c r="I56" s="37">
        <f t="shared" si="11"/>
        <v>6851.959081258445</v>
      </c>
      <c r="J56" s="38">
        <f>PI()/((1/(2*D56)*LN(B56/(B56-2*C56)))+(1/('Zadání parametrů'!D$14*(B56)/1000)))*('Zadání parametrů'!D$16-'Zadání parametrů'!D$9)</f>
        <v>45.059225592930524</v>
      </c>
      <c r="K56" s="39">
        <f>J56/1000*24*'Zadání parametrů'!$D$6</f>
        <v>236.83128971644285</v>
      </c>
      <c r="L56" s="39">
        <f>K56*'Zadání parametrů'!$D$18</f>
        <v>341.0380120981119</v>
      </c>
      <c r="M56" s="38">
        <f>PI()/((1/(2*D56)*LN(B56/(B56-2*C56)))+(1/(2*E56)*LN((B56+2*F56)/B56))+(1/('Zadání parametrů'!D$14*(B56+2*F56)/1000)))*('Zadání parametrů'!D$16-'Zadání parametrů'!D$9)</f>
        <v>6.46619951944985</v>
      </c>
      <c r="N56" s="39">
        <f>M56/1000*24*'Zadání parametrů'!$D$6</f>
        <v>33.98634467422841</v>
      </c>
      <c r="O56" s="39">
        <f>N56*'Zadání parametrů'!$D$18</f>
        <v>48.940473364214384</v>
      </c>
      <c r="P56" s="40">
        <f t="shared" si="12"/>
        <v>292.0975387338975</v>
      </c>
      <c r="Q56" s="8">
        <f t="shared" si="13"/>
        <v>177.44072827404895</v>
      </c>
      <c r="R56" s="45">
        <f>(O56*'Zadání parametrů'!$D$4)+G56</f>
        <v>190.94047336421437</v>
      </c>
    </row>
    <row r="57" spans="1:18" ht="15.75" customHeight="1">
      <c r="A57" s="42"/>
      <c r="B57" s="22"/>
      <c r="C57" s="25"/>
      <c r="D57" s="25"/>
      <c r="E57" s="25"/>
      <c r="F57" s="22"/>
      <c r="G57" s="25"/>
      <c r="H57" s="22"/>
      <c r="I57" s="31"/>
      <c r="J57" s="31"/>
      <c r="K57" s="33"/>
      <c r="L57" s="33"/>
      <c r="M57" s="33"/>
      <c r="N57" s="33"/>
      <c r="O57" s="49" t="s">
        <v>60</v>
      </c>
      <c r="P57" s="34"/>
      <c r="Q57" s="8"/>
      <c r="R57" s="47">
        <f>MIN(R51:R56)</f>
        <v>165.3275528761842</v>
      </c>
    </row>
    <row r="58" spans="1:18" ht="21.75" customHeight="1">
      <c r="A58" s="5" t="s">
        <v>79</v>
      </c>
      <c r="B58" s="22"/>
      <c r="C58" s="42"/>
      <c r="D58" s="42"/>
      <c r="E58" s="25"/>
      <c r="F58" s="22"/>
      <c r="G58" s="25"/>
      <c r="H58" s="22"/>
      <c r="I58" s="31"/>
      <c r="J58" s="31"/>
      <c r="K58" s="33"/>
      <c r="L58" s="33"/>
      <c r="M58" s="33"/>
      <c r="N58" s="33"/>
      <c r="O58" s="33"/>
      <c r="P58" s="34"/>
      <c r="Q58" s="35"/>
      <c r="R58" s="43"/>
    </row>
    <row r="59" spans="1:18" ht="12.75">
      <c r="A59" s="4" t="s">
        <v>15</v>
      </c>
      <c r="B59" s="23">
        <v>63</v>
      </c>
      <c r="C59" s="6">
        <v>8.6</v>
      </c>
      <c r="D59" s="27">
        <f>D$7</f>
        <v>0.35</v>
      </c>
      <c r="E59" s="50">
        <v>0.038</v>
      </c>
      <c r="F59" s="23">
        <v>20</v>
      </c>
      <c r="G59" s="6">
        <v>87</v>
      </c>
      <c r="H59" s="48" t="str">
        <f aca="true" t="shared" si="15" ref="H59:H64">IF(R59=R$65,"OPTIMÁLNÍ","----")</f>
        <v>----</v>
      </c>
      <c r="I59" s="37">
        <f aca="true" t="shared" si="16" ref="I59:I64">G59/((3.14*(B59+2*F59)^2/4-3.14*B59^2/4)/1000000)</f>
        <v>16690.96769242575</v>
      </c>
      <c r="J59" s="38">
        <f>PI()/((1/(2*D59)*LN(B59/(B59-2*C59)))+(1/('Zadání parametrů'!D$14*(B59)/1000)))*('Zadání parametrů'!D$16-'Zadání parametrů'!D$9)</f>
        <v>54.29195476803585</v>
      </c>
      <c r="K59" s="39">
        <f>J59/1000*24*'Zadání parametrů'!$D$6</f>
        <v>285.3585142607964</v>
      </c>
      <c r="L59" s="39">
        <f>K59*'Zadání parametrů'!$D$18</f>
        <v>410.91741110429837</v>
      </c>
      <c r="M59" s="38">
        <f>PI()/((1/(2*D59)*LN(B59/(B59-2*C59)))+(1/(2*E59)*LN((B59+2*F59)/B59))+(1/('Zadání parametrů'!D$14*(B59+2*F59)/1000)))*('Zadání parametrů'!D$16-'Zadání parametrů'!D$9)</f>
        <v>14.048343350427272</v>
      </c>
      <c r="N59" s="39">
        <f>M59/1000*24*'Zadání parametrů'!$D$6</f>
        <v>73.83809264984573</v>
      </c>
      <c r="O59" s="39">
        <f>N59*'Zadání parametrů'!$D$18</f>
        <v>106.32715113180113</v>
      </c>
      <c r="P59" s="40">
        <f aca="true" t="shared" si="17" ref="P59:P64">L59-O59</f>
        <v>304.5902599724972</v>
      </c>
      <c r="Q59" s="8">
        <f aca="true" t="shared" si="18" ref="Q59:Q64">G59/P59*365</f>
        <v>104.2548110463785</v>
      </c>
      <c r="R59" s="45">
        <f>(O59*'Zadání parametrů'!$D$4)+G59</f>
        <v>193.32715113180114</v>
      </c>
    </row>
    <row r="60" spans="1:18" ht="12.75">
      <c r="A60" s="4" t="s">
        <v>15</v>
      </c>
      <c r="B60" s="24">
        <f aca="true" t="shared" si="19" ref="B60:D61">B$59</f>
        <v>63</v>
      </c>
      <c r="C60" s="61">
        <f t="shared" si="19"/>
        <v>8.6</v>
      </c>
      <c r="D60" s="61">
        <f t="shared" si="19"/>
        <v>0.35</v>
      </c>
      <c r="E60" s="27">
        <f>E59</f>
        <v>0.038</v>
      </c>
      <c r="F60" s="23">
        <v>25</v>
      </c>
      <c r="G60" s="6">
        <v>97</v>
      </c>
      <c r="H60" s="48" t="str">
        <f t="shared" si="15"/>
        <v>----</v>
      </c>
      <c r="I60" s="37">
        <f t="shared" si="16"/>
        <v>14041.690793283147</v>
      </c>
      <c r="J60" s="38">
        <f>PI()/((1/(2*D60)*LN(B60/(B60-2*C60)))+(1/('Zadání parametrů'!D$14*(B60)/1000)))*('Zadání parametrů'!D$16-'Zadání parametrů'!D$9)</f>
        <v>54.29195476803585</v>
      </c>
      <c r="K60" s="39">
        <f>J60/1000*24*'Zadání parametrů'!$D$6</f>
        <v>285.3585142607964</v>
      </c>
      <c r="L60" s="39">
        <f>K60*'Zadání parametrů'!$D$18</f>
        <v>410.91741110429837</v>
      </c>
      <c r="M60" s="38">
        <f>PI()/((1/(2*D60)*LN(B60/(B60-2*C60)))+(1/(2*E60)*LN((B60+2*F60)/B60))+(1/('Zadání parametrů'!D$14*(B60+2*F60)/1000)))*('Zadání parametrů'!D$16-'Zadání parametrů'!D$9)</f>
        <v>12.284866329948823</v>
      </c>
      <c r="N60" s="39">
        <f>M60/1000*24*'Zadání parametrů'!$D$6</f>
        <v>64.56925743021101</v>
      </c>
      <c r="O60" s="39">
        <f>N60*'Zadání parametrů'!$D$18</f>
        <v>92.97999104347886</v>
      </c>
      <c r="P60" s="40">
        <f t="shared" si="17"/>
        <v>317.9374200608195</v>
      </c>
      <c r="Q60" s="8">
        <f t="shared" si="18"/>
        <v>111.3583924573183</v>
      </c>
      <c r="R60" s="45">
        <f>(O60*'Zadání parametrů'!$D$4)+G60</f>
        <v>189.97999104347886</v>
      </c>
    </row>
    <row r="61" spans="1:18" ht="12.75">
      <c r="A61" s="4" t="s">
        <v>15</v>
      </c>
      <c r="B61" s="24">
        <f t="shared" si="19"/>
        <v>63</v>
      </c>
      <c r="C61" s="61">
        <f t="shared" si="19"/>
        <v>8.6</v>
      </c>
      <c r="D61" s="61">
        <f t="shared" si="19"/>
        <v>0.35</v>
      </c>
      <c r="E61" s="27">
        <f>E60</f>
        <v>0.038</v>
      </c>
      <c r="F61" s="23">
        <v>30</v>
      </c>
      <c r="G61" s="50">
        <v>101</v>
      </c>
      <c r="H61" s="48" t="str">
        <f t="shared" si="15"/>
        <v>OPTIMÁLNÍ</v>
      </c>
      <c r="I61" s="37">
        <f t="shared" si="16"/>
        <v>11528.890715247811</v>
      </c>
      <c r="J61" s="38">
        <f>PI()/((1/(2*D61)*LN(B61/(B61-2*C61)))+(1/('Zadání parametrů'!D$14*(B61)/1000)))*('Zadání parametrů'!D$16-'Zadání parametrů'!D$9)</f>
        <v>54.29195476803585</v>
      </c>
      <c r="K61" s="39">
        <f>J61/1000*24*'Zadání parametrů'!$D$6</f>
        <v>285.3585142607964</v>
      </c>
      <c r="L61" s="39">
        <f>K61*'Zadání parametrů'!$D$18</f>
        <v>410.91741110429837</v>
      </c>
      <c r="M61" s="38">
        <f>PI()/((1/(2*D61)*LN(B61/(B61-2*C61)))+(1/(2*E61)*LN((B61+2*F61)/B61))+(1/('Zadání parametrů'!D$14*(B61+2*F61)/1000)))*('Zadání parametrů'!D$16-'Zadání parametrů'!D$9)</f>
        <v>11.011716952280562</v>
      </c>
      <c r="N61" s="39">
        <f>M61/1000*24*'Zadání parametrů'!$D$6</f>
        <v>57.87758430118662</v>
      </c>
      <c r="O61" s="39">
        <f>N61*'Zadání parametrů'!$D$18</f>
        <v>83.34395475678214</v>
      </c>
      <c r="P61" s="40">
        <f t="shared" si="17"/>
        <v>327.57345634751624</v>
      </c>
      <c r="Q61" s="8">
        <f t="shared" si="18"/>
        <v>112.53964350789963</v>
      </c>
      <c r="R61" s="45">
        <f>(O61*'Zadání parametrů'!$D$4)+G61</f>
        <v>184.34395475678213</v>
      </c>
    </row>
    <row r="62" spans="1:18" ht="12.75">
      <c r="A62" s="4" t="s">
        <v>15</v>
      </c>
      <c r="B62" s="24">
        <f aca="true" t="shared" si="20" ref="B62:D64">B$59</f>
        <v>63</v>
      </c>
      <c r="C62" s="61">
        <f t="shared" si="20"/>
        <v>8.6</v>
      </c>
      <c r="D62" s="61">
        <f t="shared" si="20"/>
        <v>0.35</v>
      </c>
      <c r="E62" s="27">
        <f>E61</f>
        <v>0.038</v>
      </c>
      <c r="F62" s="23">
        <v>40</v>
      </c>
      <c r="G62" s="6">
        <v>117</v>
      </c>
      <c r="H62" s="48" t="str">
        <f t="shared" si="15"/>
        <v>----</v>
      </c>
      <c r="I62" s="37">
        <f t="shared" si="16"/>
        <v>9043.967596314389</v>
      </c>
      <c r="J62" s="38">
        <f>PI()/((1/(2*D62)*LN(B62/(B62-2*C62)))+(1/('Zadání parametrů'!D$14*(B62)/1000)))*('Zadání parametrů'!D$16-'Zadání parametrů'!D$9)</f>
        <v>54.29195476803585</v>
      </c>
      <c r="K62" s="39">
        <f>J62/1000*24*'Zadání parametrů'!$D$6</f>
        <v>285.3585142607964</v>
      </c>
      <c r="L62" s="39">
        <f>K62*'Zadání parametrů'!$D$18</f>
        <v>410.91741110429837</v>
      </c>
      <c r="M62" s="38">
        <f>PI()/((1/(2*D62)*LN(B62/(B62-2*C62)))+(1/(2*E62)*LN((B62+2*F62)/B62))+(1/('Zadání parametrů'!D$14*(B62+2*F62)/1000)))*('Zadání parametrů'!D$16-'Zadání parametrů'!D$9)</f>
        <v>9.288399025489255</v>
      </c>
      <c r="N62" s="39">
        <f>M62/1000*24*'Zadání parametrů'!$D$6</f>
        <v>48.81982527797153</v>
      </c>
      <c r="O62" s="39">
        <f>N62*'Zadání parametrů'!$D$18</f>
        <v>70.30074524236575</v>
      </c>
      <c r="P62" s="40">
        <f t="shared" si="17"/>
        <v>340.61666586193263</v>
      </c>
      <c r="Q62" s="8">
        <f t="shared" si="18"/>
        <v>125.37554465203493</v>
      </c>
      <c r="R62" s="45">
        <f>(O62*'Zadání parametrů'!$D$4)+G62</f>
        <v>187.30074524236574</v>
      </c>
    </row>
    <row r="63" spans="1:18" ht="12.75">
      <c r="A63" s="4" t="s">
        <v>15</v>
      </c>
      <c r="B63" s="24">
        <f t="shared" si="20"/>
        <v>63</v>
      </c>
      <c r="C63" s="61">
        <f t="shared" si="20"/>
        <v>8.6</v>
      </c>
      <c r="D63" s="61">
        <f t="shared" si="20"/>
        <v>0.35</v>
      </c>
      <c r="E63" s="27">
        <f>E62</f>
        <v>0.038</v>
      </c>
      <c r="F63" s="23">
        <v>50</v>
      </c>
      <c r="G63" s="6">
        <v>136</v>
      </c>
      <c r="H63" s="48" t="str">
        <f t="shared" si="15"/>
        <v>----</v>
      </c>
      <c r="I63" s="37">
        <f t="shared" si="16"/>
        <v>7665.858745279296</v>
      </c>
      <c r="J63" s="38">
        <f>PI()/((1/(2*D63)*LN(B63/(B63-2*C63)))+(1/('Zadání parametrů'!D$14*(B63)/1000)))*('Zadání parametrů'!D$16-'Zadání parametrů'!D$9)</f>
        <v>54.29195476803585</v>
      </c>
      <c r="K63" s="39">
        <f>J63/1000*24*'Zadání parametrů'!$D$6</f>
        <v>285.3585142607964</v>
      </c>
      <c r="L63" s="39">
        <f>K63*'Zadání parametrů'!$D$18</f>
        <v>410.91741110429837</v>
      </c>
      <c r="M63" s="38">
        <f>PI()/((1/(2*D63)*LN(B63/(B63-2*C63)))+(1/(2*E63)*LN((B63+2*F63)/B63))+(1/('Zadání parametrů'!D$14*(B63+2*F63)/1000)))*('Zadání parametrů'!D$16-'Zadání parametrů'!D$9)</f>
        <v>8.1687379331252</v>
      </c>
      <c r="N63" s="39">
        <f>M63/1000*24*'Zadání parametrů'!$D$6</f>
        <v>42.93488657650606</v>
      </c>
      <c r="O63" s="39">
        <f>N63*'Zadání parametrů'!$D$18</f>
        <v>61.82640978411618</v>
      </c>
      <c r="P63" s="40">
        <f t="shared" si="17"/>
        <v>349.09100132018216</v>
      </c>
      <c r="Q63" s="8">
        <f t="shared" si="18"/>
        <v>142.19787909820906</v>
      </c>
      <c r="R63" s="45">
        <f>(O63*'Zadání parametrů'!$D$4)+G63</f>
        <v>197.82640978411618</v>
      </c>
    </row>
    <row r="64" spans="1:18" ht="12.75">
      <c r="A64" s="4" t="s">
        <v>15</v>
      </c>
      <c r="B64" s="24">
        <f t="shared" si="20"/>
        <v>63</v>
      </c>
      <c r="C64" s="61">
        <f t="shared" si="20"/>
        <v>8.6</v>
      </c>
      <c r="D64" s="61">
        <f t="shared" si="20"/>
        <v>0.35</v>
      </c>
      <c r="E64" s="27">
        <f>E63</f>
        <v>0.038</v>
      </c>
      <c r="F64" s="23">
        <v>60</v>
      </c>
      <c r="G64" s="6">
        <v>184</v>
      </c>
      <c r="H64" s="48" t="str">
        <f t="shared" si="15"/>
        <v>----</v>
      </c>
      <c r="I64" s="37">
        <f t="shared" si="16"/>
        <v>7940.206790602937</v>
      </c>
      <c r="J64" s="38">
        <f>PI()/((1/(2*D64)*LN(B64/(B64-2*C64)))+(1/('Zadání parametrů'!D$14*(B64)/1000)))*('Zadání parametrů'!D$16-'Zadání parametrů'!D$9)</f>
        <v>54.29195476803585</v>
      </c>
      <c r="K64" s="39">
        <f>J64/1000*24*'Zadání parametrů'!$D$6</f>
        <v>285.3585142607964</v>
      </c>
      <c r="L64" s="39">
        <f>K64*'Zadání parametrů'!$D$18</f>
        <v>410.91741110429837</v>
      </c>
      <c r="M64" s="38">
        <f>PI()/((1/(2*D64)*LN(B64/(B64-2*C64)))+(1/(2*E64)*LN((B64+2*F64)/B64))+(1/('Zadání parametrů'!D$14*(B64+2*F64)/1000)))*('Zadání parametrů'!D$16-'Zadání parametrů'!D$9)</f>
        <v>7.3776731805840505</v>
      </c>
      <c r="N64" s="39">
        <f>M64/1000*24*'Zadání parametrů'!$D$6</f>
        <v>38.77705023714977</v>
      </c>
      <c r="O64" s="39">
        <f>N64*'Zadání parametrů'!$D$18</f>
        <v>55.839108691000064</v>
      </c>
      <c r="P64" s="40">
        <f t="shared" si="17"/>
        <v>355.0783024132983</v>
      </c>
      <c r="Q64" s="8">
        <f t="shared" si="18"/>
        <v>189.14137964371642</v>
      </c>
      <c r="R64" s="45">
        <f>(O64*'Zadání parametrů'!$D$4)+G64</f>
        <v>239.83910869100006</v>
      </c>
    </row>
    <row r="65" spans="1:18" ht="15.75" customHeight="1">
      <c r="A65" s="42"/>
      <c r="B65" s="22"/>
      <c r="C65" s="25"/>
      <c r="D65" s="25"/>
      <c r="E65" s="25"/>
      <c r="F65" s="22"/>
      <c r="G65" s="25"/>
      <c r="H65" s="22"/>
      <c r="I65" s="31"/>
      <c r="J65" s="32"/>
      <c r="K65" s="33"/>
      <c r="L65" s="33"/>
      <c r="M65" s="32"/>
      <c r="N65" s="33"/>
      <c r="O65" s="49" t="s">
        <v>60</v>
      </c>
      <c r="P65" s="34"/>
      <c r="Q65" s="8"/>
      <c r="R65" s="47">
        <f>MIN(R59:R64)</f>
        <v>184.34395475678213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J37" sqref="J37"/>
    </sheetView>
  </sheetViews>
  <sheetFormatPr defaultColWidth="9.140625" defaultRowHeight="12.75"/>
  <cols>
    <col min="1" max="1" width="22.421875" style="0" customWidth="1"/>
    <col min="2" max="2" width="7.7109375" style="9" bestFit="1" customWidth="1"/>
    <col min="3" max="3" width="8.8515625" style="0" bestFit="1" customWidth="1"/>
    <col min="4" max="4" width="8.421875" style="0" bestFit="1" customWidth="1"/>
    <col min="5" max="5" width="8.421875" style="2" bestFit="1" customWidth="1"/>
    <col min="6" max="6" width="8.8515625" style="7" bestFit="1" customWidth="1"/>
    <col min="7" max="7" width="7.57421875" style="2" bestFit="1" customWidth="1"/>
    <col min="8" max="8" width="13.28125" style="2" customWidth="1"/>
    <col min="9" max="9" width="10.57421875" style="2" customWidth="1"/>
    <col min="10" max="10" width="11.28125" style="107" bestFit="1" customWidth="1"/>
    <col min="11" max="11" width="13.421875" style="17" bestFit="1" customWidth="1"/>
    <col min="12" max="12" width="13.421875" style="2" customWidth="1"/>
    <col min="13" max="13" width="12.421875" style="2" customWidth="1"/>
    <col min="14" max="14" width="11.7109375" style="2" customWidth="1"/>
    <col min="15" max="15" width="11.7109375" style="0" bestFit="1" customWidth="1"/>
    <col min="16" max="16" width="11.8515625" style="0" customWidth="1"/>
    <col min="17" max="17" width="10.7109375" style="0" hidden="1" customWidth="1"/>
    <col min="18" max="18" width="21.140625" style="0" bestFit="1" customWidth="1"/>
    <col min="19" max="19" width="13.28125" style="2" customWidth="1"/>
  </cols>
  <sheetData>
    <row r="1" spans="1:6" ht="33" customHeight="1">
      <c r="A1" s="111" t="s">
        <v>97</v>
      </c>
      <c r="B1" s="112"/>
      <c r="C1" s="113"/>
      <c r="D1" s="113"/>
      <c r="E1" s="114"/>
      <c r="F1" s="115"/>
    </row>
    <row r="2" ht="20.25">
      <c r="A2" s="97"/>
    </row>
    <row r="3" spans="1:18" ht="15.75" customHeight="1">
      <c r="A3" s="108" t="s">
        <v>82</v>
      </c>
      <c r="B3" s="23" t="s">
        <v>2</v>
      </c>
      <c r="C3" s="23" t="s">
        <v>17</v>
      </c>
      <c r="D3" s="23" t="s">
        <v>11</v>
      </c>
      <c r="E3" s="23" t="s">
        <v>11</v>
      </c>
      <c r="F3" s="23" t="s">
        <v>17</v>
      </c>
      <c r="G3" s="23" t="s">
        <v>5</v>
      </c>
      <c r="H3" s="23"/>
      <c r="I3" s="6" t="s">
        <v>32</v>
      </c>
      <c r="J3" s="23" t="s">
        <v>95</v>
      </c>
      <c r="K3" s="6" t="s">
        <v>96</v>
      </c>
      <c r="L3" s="6" t="s">
        <v>36</v>
      </c>
      <c r="M3" s="23" t="s">
        <v>95</v>
      </c>
      <c r="N3" s="6" t="s">
        <v>96</v>
      </c>
      <c r="O3" s="6" t="s">
        <v>36</v>
      </c>
      <c r="P3" s="6" t="s">
        <v>12</v>
      </c>
      <c r="Q3" s="23" t="s">
        <v>13</v>
      </c>
      <c r="R3" s="23" t="s">
        <v>27</v>
      </c>
    </row>
    <row r="4" spans="1:18" ht="15.75" customHeight="1">
      <c r="A4" s="108" t="s">
        <v>83</v>
      </c>
      <c r="B4" s="23" t="s">
        <v>16</v>
      </c>
      <c r="C4" s="23" t="s">
        <v>26</v>
      </c>
      <c r="D4" s="23" t="s">
        <v>16</v>
      </c>
      <c r="E4" s="23" t="s">
        <v>18</v>
      </c>
      <c r="F4" s="23" t="s">
        <v>18</v>
      </c>
      <c r="G4" s="23" t="s">
        <v>18</v>
      </c>
      <c r="H4" s="23"/>
      <c r="I4" s="6" t="s">
        <v>33</v>
      </c>
      <c r="J4" s="23" t="s">
        <v>19</v>
      </c>
      <c r="K4" s="6" t="s">
        <v>19</v>
      </c>
      <c r="L4" s="6" t="s">
        <v>19</v>
      </c>
      <c r="M4" s="23" t="s">
        <v>20</v>
      </c>
      <c r="N4" s="6" t="s">
        <v>20</v>
      </c>
      <c r="O4" s="6" t="s">
        <v>20</v>
      </c>
      <c r="P4" s="6" t="s">
        <v>24</v>
      </c>
      <c r="Q4" s="23" t="s">
        <v>18</v>
      </c>
      <c r="R4" s="23" t="s">
        <v>37</v>
      </c>
    </row>
    <row r="5" spans="1:18" ht="15.75" customHeight="1">
      <c r="A5" s="108" t="s">
        <v>84</v>
      </c>
      <c r="B5" s="23" t="s">
        <v>3</v>
      </c>
      <c r="C5" s="23" t="s">
        <v>3</v>
      </c>
      <c r="D5" s="23" t="s">
        <v>10</v>
      </c>
      <c r="E5" s="23" t="s">
        <v>10</v>
      </c>
      <c r="F5" s="109" t="s">
        <v>3</v>
      </c>
      <c r="G5" s="23" t="s">
        <v>4</v>
      </c>
      <c r="H5" s="23"/>
      <c r="I5" s="6" t="s">
        <v>0</v>
      </c>
      <c r="J5" s="23" t="s">
        <v>9</v>
      </c>
      <c r="K5" s="6" t="s">
        <v>30</v>
      </c>
      <c r="L5" s="6" t="s">
        <v>31</v>
      </c>
      <c r="M5" s="23" t="s">
        <v>9</v>
      </c>
      <c r="N5" s="6" t="s">
        <v>30</v>
      </c>
      <c r="O5" s="6" t="s">
        <v>31</v>
      </c>
      <c r="P5" s="6" t="s">
        <v>31</v>
      </c>
      <c r="Q5" s="110" t="s">
        <v>14</v>
      </c>
      <c r="R5" s="6" t="s">
        <v>4</v>
      </c>
    </row>
    <row r="6" spans="1:18" ht="21.75" customHeight="1">
      <c r="A6" s="5" t="s">
        <v>98</v>
      </c>
      <c r="B6" s="22"/>
      <c r="C6" s="26"/>
      <c r="D6" s="26"/>
      <c r="E6" s="21"/>
      <c r="F6" s="28"/>
      <c r="G6" s="21"/>
      <c r="H6" s="21"/>
      <c r="I6" s="31"/>
      <c r="J6" s="32"/>
      <c r="K6" s="33"/>
      <c r="L6" s="33"/>
      <c r="M6" s="32"/>
      <c r="N6" s="33"/>
      <c r="O6" s="33"/>
      <c r="P6" s="34"/>
      <c r="Q6" s="35"/>
      <c r="R6" s="36"/>
    </row>
    <row r="7" spans="1:18" ht="15.75" customHeight="1">
      <c r="A7" s="4" t="s">
        <v>6</v>
      </c>
      <c r="B7" s="23">
        <v>16</v>
      </c>
      <c r="C7" s="6">
        <v>2</v>
      </c>
      <c r="D7" s="6">
        <v>0.43</v>
      </c>
      <c r="E7" s="6">
        <v>0.044</v>
      </c>
      <c r="F7" s="23">
        <v>6</v>
      </c>
      <c r="G7" s="6">
        <v>3.8</v>
      </c>
      <c r="H7" s="48" t="str">
        <f>IF(R7=R$12,"OPTIMÁLNÍ","----")</f>
        <v>----</v>
      </c>
      <c r="I7" s="37">
        <f>G7/((3.14*(B7+2*F7)^2/4-3.14*B7^2/4)/1000000)</f>
        <v>9168.114263655665</v>
      </c>
      <c r="J7" s="38">
        <f>PI()/((1/(2*D7)*LN(B7/(B7-2*C7)))+(1/('Zadání parametrů'!D$14*(B7)/1000)))*('Zadání parametrů'!D$16-'Zadání parametrů'!D$9)</f>
        <v>16.84372453515417</v>
      </c>
      <c r="K7" s="39">
        <f>J7/1000*24*'Zadání parametrů'!$D$6</f>
        <v>88.53061615677031</v>
      </c>
      <c r="L7" s="39">
        <f>K7*'Zadání parametrů'!$D$18</f>
        <v>127.48444422219319</v>
      </c>
      <c r="M7" s="38">
        <f>PI()/((1/(2*D7)*LN(B7/(B7-2*C7)))+(1/(2*E7)*LN((B7+2*F7)/B7))+(1/('Zadání parametrů'!D$14*(B7+2*F7)/1000)))*('Zadání parametrů'!D$16-'Zadání parametrů'!D$9)</f>
        <v>10.804231869554737</v>
      </c>
      <c r="N7" s="39">
        <f>M7/1000*24*'Zadání parametrů'!$D$6</f>
        <v>56.787042706379694</v>
      </c>
      <c r="O7" s="39">
        <f>N7*'Zadání parametrů'!$D$18</f>
        <v>81.77357046318413</v>
      </c>
      <c r="P7" s="40">
        <f>L7-O7</f>
        <v>45.71087375900906</v>
      </c>
      <c r="Q7" s="8">
        <f>G7/P7*365</f>
        <v>30.342889687743913</v>
      </c>
      <c r="R7" s="45">
        <f>(O7*'Zadání parametrů'!$D$4)+G7</f>
        <v>85.57357046318413</v>
      </c>
    </row>
    <row r="8" spans="1:18" ht="15.75" customHeight="1">
      <c r="A8" s="4" t="s">
        <v>6</v>
      </c>
      <c r="B8" s="24">
        <f aca="true" t="shared" si="0" ref="B8:D11">B$7</f>
        <v>16</v>
      </c>
      <c r="C8" s="27">
        <f t="shared" si="0"/>
        <v>2</v>
      </c>
      <c r="D8" s="27">
        <f t="shared" si="0"/>
        <v>0.43</v>
      </c>
      <c r="E8" s="27">
        <f>E7</f>
        <v>0.044</v>
      </c>
      <c r="F8" s="23">
        <v>9</v>
      </c>
      <c r="G8" s="6">
        <v>6.7</v>
      </c>
      <c r="H8" s="48" t="str">
        <f>IF(R8=R$12,"OPTIMÁLNÍ","----")</f>
        <v>----</v>
      </c>
      <c r="I8" s="37">
        <f>G8/((3.14*(B8+2*F8)^2/4-3.14*B8^2/4)/1000000)</f>
        <v>9483.36871903751</v>
      </c>
      <c r="J8" s="38">
        <f>PI()/((1/(2*D8)*LN(B8/(B8-2*C8)))+(1/('Zadání parametrů'!D$14*(B8)/1000)))*('Zadání parametrů'!D$16-'Zadání parametrů'!D$9)</f>
        <v>16.84372453515417</v>
      </c>
      <c r="K8" s="39">
        <f>J8/1000*24*'Zadání parametrů'!$D$6</f>
        <v>88.53061615677031</v>
      </c>
      <c r="L8" s="39">
        <f>K8*'Zadání parametrů'!$D$18</f>
        <v>127.48444422219319</v>
      </c>
      <c r="M8" s="38">
        <f>PI()/((1/(2*D8)*LN(B8/(B8-2*C8)))+(1/(2*E8)*LN((B8+2*F8)/B8))+(1/('Zadání parametrů'!D$14*(B8+2*F8)/1000)))*('Zadání parametrů'!D$16-'Zadání parametrů'!D$9)</f>
        <v>9.366195918647636</v>
      </c>
      <c r="N8" s="39">
        <f>M8/1000*24*'Zadání parametrů'!$D$6</f>
        <v>49.228725748411975</v>
      </c>
      <c r="O8" s="39">
        <f>N8*'Zadání parametrů'!$D$18</f>
        <v>70.8895635684913</v>
      </c>
      <c r="P8" s="40">
        <f>L8-O8</f>
        <v>56.59488065370189</v>
      </c>
      <c r="Q8" s="8">
        <f>G8/P8*365</f>
        <v>43.21062208724773</v>
      </c>
      <c r="R8" s="45">
        <f>(O8*'Zadání parametrů'!$D$4)+G8</f>
        <v>77.5895635684913</v>
      </c>
    </row>
    <row r="9" spans="1:18" ht="15.75" customHeight="1">
      <c r="A9" s="12" t="s">
        <v>6</v>
      </c>
      <c r="B9" s="24">
        <f t="shared" si="0"/>
        <v>16</v>
      </c>
      <c r="C9" s="27">
        <f t="shared" si="0"/>
        <v>2</v>
      </c>
      <c r="D9" s="27">
        <f t="shared" si="0"/>
        <v>0.43</v>
      </c>
      <c r="E9" s="27">
        <f>E8</f>
        <v>0.044</v>
      </c>
      <c r="F9" s="29">
        <v>13</v>
      </c>
      <c r="G9" s="50">
        <v>12.5</v>
      </c>
      <c r="H9" s="48" t="str">
        <f>IF(R9=R$12,"OPTIMÁLNÍ","----")</f>
        <v>OPTIMÁLNÍ</v>
      </c>
      <c r="I9" s="37">
        <f>G9/((3.14*(B9+2*F9)^2/4-3.14*B9^2/4)/1000000)</f>
        <v>10559.39448208282</v>
      </c>
      <c r="J9" s="38">
        <f>PI()/((1/(2*D9)*LN(B9/(B9-2*C9)))+(1/('Zadání parametrů'!D$14*(B9)/1000)))*('Zadání parametrů'!D$16-'Zadání parametrů'!D$9)</f>
        <v>16.84372453515417</v>
      </c>
      <c r="K9" s="39">
        <f>J9/1000*24*'Zadání parametrů'!$D$6</f>
        <v>88.53061615677031</v>
      </c>
      <c r="L9" s="39">
        <f>K9*'Zadání parametrů'!$D$18</f>
        <v>127.48444422219319</v>
      </c>
      <c r="M9" s="38">
        <f>PI()/((1/(2*D9)*LN(B9/(B9-2*C9)))+(1/(2*E9)*LN((B9+2*F9)/B9))+(1/('Zadání parametrů'!D$14*(B9+2*F9)/1000)))*('Zadání parametrů'!D$16-'Zadání parametrů'!D$9)</f>
        <v>8.10593123521417</v>
      </c>
      <c r="N9" s="39">
        <f>M9/1000*24*'Zadání parametrů'!$D$6</f>
        <v>42.60477457228567</v>
      </c>
      <c r="O9" s="39">
        <f>N9*'Zadání parametrů'!$D$18</f>
        <v>61.351047167023495</v>
      </c>
      <c r="P9" s="40">
        <f>L9-O9</f>
        <v>66.1333970551697</v>
      </c>
      <c r="Q9" s="8">
        <f>G9/P9*365</f>
        <v>68.989348848871</v>
      </c>
      <c r="R9" s="45">
        <f>(O9*'Zadání parametrů'!$D$4)+G9</f>
        <v>73.8510471670235</v>
      </c>
    </row>
    <row r="10" spans="1:18" ht="15.75" customHeight="1">
      <c r="A10" s="4" t="s">
        <v>6</v>
      </c>
      <c r="B10" s="24">
        <f t="shared" si="0"/>
        <v>16</v>
      </c>
      <c r="C10" s="27">
        <f t="shared" si="0"/>
        <v>2</v>
      </c>
      <c r="D10" s="27">
        <f t="shared" si="0"/>
        <v>0.43</v>
      </c>
      <c r="E10" s="27">
        <f>E9</f>
        <v>0.044</v>
      </c>
      <c r="F10" s="23">
        <v>20</v>
      </c>
      <c r="G10" s="50">
        <v>23.2</v>
      </c>
      <c r="H10" s="48" t="str">
        <f>IF(R10=R$12,"OPTIMÁLNÍ","----")</f>
        <v>----</v>
      </c>
      <c r="I10" s="37">
        <f>G10/((3.14*(B10+2*F10)^2/4-3.14*B10^2/4)/1000000)</f>
        <v>10261.854210898795</v>
      </c>
      <c r="J10" s="38">
        <f>PI()/((1/(2*D10)*LN(B10/(B10-2*C10)))+(1/('Zadání parametrů'!D$14*(B10)/1000)))*('Zadání parametrů'!D$16-'Zadání parametrů'!D$9)</f>
        <v>16.84372453515417</v>
      </c>
      <c r="K10" s="39">
        <f>J10/1000*24*'Zadání parametrů'!$D$6</f>
        <v>88.53061615677031</v>
      </c>
      <c r="L10" s="39">
        <f>K10*'Zadání parametrů'!$D$18</f>
        <v>127.48444422219319</v>
      </c>
      <c r="M10" s="38">
        <f>PI()/((1/(2*D10)*LN(B10/(B10-2*C10)))+(1/(2*E10)*LN((B10+2*F10)/B10))+(1/('Zadání parametrů'!D$14*(B10+2*F10)/1000)))*('Zadání parametrů'!D$16-'Zadání parametrů'!D$9)</f>
        <v>6.780788709712038</v>
      </c>
      <c r="N10" s="39">
        <f>M10/1000*24*'Zadání parametrů'!$D$6</f>
        <v>35.63982545824647</v>
      </c>
      <c r="O10" s="39">
        <f>N10*'Zadání parametrů'!$D$18</f>
        <v>51.321492360053576</v>
      </c>
      <c r="P10" s="40">
        <f>L10-O10</f>
        <v>76.16295186213961</v>
      </c>
      <c r="Q10" s="8">
        <f>G10/P10*365</f>
        <v>111.18266549499927</v>
      </c>
      <c r="R10" s="45">
        <f>(O10*'Zadání parametrů'!$D$4)+G10</f>
        <v>74.52149236005357</v>
      </c>
    </row>
    <row r="11" spans="1:18" ht="15.75" customHeight="1">
      <c r="A11" s="4" t="s">
        <v>6</v>
      </c>
      <c r="B11" s="24">
        <f t="shared" si="0"/>
        <v>16</v>
      </c>
      <c r="C11" s="27">
        <f t="shared" si="0"/>
        <v>2</v>
      </c>
      <c r="D11" s="27">
        <f t="shared" si="0"/>
        <v>0.43</v>
      </c>
      <c r="E11" s="27">
        <f>E10</f>
        <v>0.044</v>
      </c>
      <c r="F11" s="23">
        <v>25</v>
      </c>
      <c r="G11" s="50">
        <v>39</v>
      </c>
      <c r="H11" s="48" t="str">
        <f>IF(R11=R$12,"OPTIMÁLNÍ","----")</f>
        <v>----</v>
      </c>
      <c r="I11" s="37">
        <f>G11/((3.14*(B11+2*F11)^2/4-3.14*B11^2/4)/1000000)</f>
        <v>12117.446015224483</v>
      </c>
      <c r="J11" s="38">
        <f>PI()/((1/(2*D11)*LN(B11/(B11-2*C11)))+(1/('Zadání parametrů'!D$14*(B11)/1000)))*('Zadání parametrů'!D$16-'Zadání parametrů'!D$9)</f>
        <v>16.84372453515417</v>
      </c>
      <c r="K11" s="39">
        <f>J11/1000*24*'Zadání parametrů'!$D$6</f>
        <v>88.53061615677031</v>
      </c>
      <c r="L11" s="39">
        <f>K11*'Zadání parametrů'!$D$18</f>
        <v>127.48444422219319</v>
      </c>
      <c r="M11" s="38">
        <f>PI()/((1/(2*D11)*LN(B11/(B11-2*C11)))+(1/(2*E11)*LN((B11+2*F11)/B11))+(1/('Zadání parametrů'!D$14*(B11+2*F11)/1000)))*('Zadání parametrů'!D$16-'Zadání parametrů'!D$9)</f>
        <v>6.1777789225566435</v>
      </c>
      <c r="N11" s="39">
        <f>M11/1000*24*'Zadání parametrů'!$D$6</f>
        <v>32.47040601695772</v>
      </c>
      <c r="O11" s="39">
        <f>N11*'Zadání parametrů'!$D$18</f>
        <v>46.7575155854628</v>
      </c>
      <c r="P11" s="40">
        <f>L11-O11</f>
        <v>80.72692863673039</v>
      </c>
      <c r="Q11" s="8">
        <f>G11/P11*365</f>
        <v>176.33521106763794</v>
      </c>
      <c r="R11" s="45">
        <f>(O11*'Zadání parametrů'!$D$4)+G11</f>
        <v>85.7575155854628</v>
      </c>
    </row>
    <row r="12" spans="1:18" ht="15.75" customHeight="1">
      <c r="A12" s="42"/>
      <c r="B12" s="22"/>
      <c r="C12" s="25"/>
      <c r="D12" s="25"/>
      <c r="E12" s="25"/>
      <c r="F12" s="22"/>
      <c r="G12" s="25"/>
      <c r="H12" s="25"/>
      <c r="I12" s="31"/>
      <c r="J12" s="31"/>
      <c r="K12" s="33"/>
      <c r="L12" s="33"/>
      <c r="M12" s="33"/>
      <c r="N12" s="33"/>
      <c r="O12" s="49" t="s">
        <v>60</v>
      </c>
      <c r="P12" s="34"/>
      <c r="Q12" s="8"/>
      <c r="R12" s="47">
        <f>MIN(R7:R11)</f>
        <v>73.8510471670235</v>
      </c>
    </row>
    <row r="13" spans="1:18" ht="21.75" customHeight="1">
      <c r="A13" s="5" t="s">
        <v>99</v>
      </c>
      <c r="B13" s="22"/>
      <c r="C13" s="42"/>
      <c r="D13" s="42"/>
      <c r="E13" s="25"/>
      <c r="F13" s="22"/>
      <c r="G13" s="25"/>
      <c r="H13" s="25"/>
      <c r="I13" s="31"/>
      <c r="J13" s="31"/>
      <c r="K13" s="33"/>
      <c r="L13" s="33"/>
      <c r="M13" s="33"/>
      <c r="N13" s="33"/>
      <c r="O13" s="33"/>
      <c r="P13" s="34"/>
      <c r="Q13" s="35"/>
      <c r="R13" s="44"/>
    </row>
    <row r="14" spans="1:18" ht="12.75">
      <c r="A14" s="4" t="s">
        <v>6</v>
      </c>
      <c r="B14" s="23">
        <v>20</v>
      </c>
      <c r="C14" s="6">
        <v>2</v>
      </c>
      <c r="D14" s="27">
        <f>D$7</f>
        <v>0.43</v>
      </c>
      <c r="E14" s="6">
        <v>0.044</v>
      </c>
      <c r="F14" s="23">
        <v>6</v>
      </c>
      <c r="G14" s="6">
        <v>4.2</v>
      </c>
      <c r="H14" s="48" t="str">
        <f>IF(R14=R$19,"OPTIMÁLNÍ","----")</f>
        <v>----</v>
      </c>
      <c r="I14" s="37">
        <f>G14/((3.14*(B14+2*F14)^2/4-3.14*B14^2/4)/1000000)</f>
        <v>8574.22831945125</v>
      </c>
      <c r="J14" s="38">
        <f>PI()/((1/(2*D14)*LN(B14/(B14-2*C14)))+(1/('Zadání parametrů'!D$14*(B14)/1000)))*('Zadání parametrů'!D$16-'Zadání parametrů'!D$9)</f>
        <v>21.087249581283057</v>
      </c>
      <c r="K14" s="39">
        <f>J14/1000*24*'Zadání parametrů'!$D$6</f>
        <v>110.83458379922376</v>
      </c>
      <c r="L14" s="39">
        <f>K14*'Zadání parametrů'!$D$18</f>
        <v>159.60224755717553</v>
      </c>
      <c r="M14" s="38">
        <f>PI()/((1/(2*D14)*LN(B14/(B14-2*C14)))+(1/(2*E14)*LN((B14+2*F14)/B14))+(1/('Zadání parametrů'!D$14*(B14+2*F14)/1000)))*('Zadání parametrů'!D$16-'Zadání parametrů'!D$9)</f>
        <v>12.710877644031566</v>
      </c>
      <c r="N14" s="39">
        <f>M14/1000*24*'Zadání parametrů'!$D$6</f>
        <v>66.80837289702991</v>
      </c>
      <c r="O14" s="39">
        <f>N14*'Zadání parametrů'!$D$18</f>
        <v>96.20432634383693</v>
      </c>
      <c r="P14" s="40">
        <f>L14-O14</f>
        <v>63.397921213338606</v>
      </c>
      <c r="Q14" s="8">
        <f>G14/P14*365</f>
        <v>24.180603569655602</v>
      </c>
      <c r="R14" s="45">
        <f>(O14*'Zadání parametrů'!$D$4)+G14</f>
        <v>100.40432634383693</v>
      </c>
    </row>
    <row r="15" spans="1:18" ht="12.75">
      <c r="A15" s="4" t="s">
        <v>6</v>
      </c>
      <c r="B15" s="24">
        <f aca="true" t="shared" si="1" ref="B15:C18">B$14</f>
        <v>20</v>
      </c>
      <c r="C15" s="61">
        <f t="shared" si="1"/>
        <v>2</v>
      </c>
      <c r="D15" s="27">
        <f>D$7</f>
        <v>0.43</v>
      </c>
      <c r="E15" s="27">
        <f>E14</f>
        <v>0.044</v>
      </c>
      <c r="F15" s="23">
        <v>9</v>
      </c>
      <c r="G15" s="6">
        <v>7.2</v>
      </c>
      <c r="H15" s="48" t="str">
        <f>IF(R15=R$19,"OPTIMÁLNÍ","----")</f>
        <v>----</v>
      </c>
      <c r="I15" s="37">
        <f>G15/((3.14*(B15+2*F15)^2/4-3.14*B15^2/4)/1000000)</f>
        <v>8785.416209092906</v>
      </c>
      <c r="J15" s="38">
        <f>PI()/((1/(2*D15)*LN(B15/(B15-2*C15)))+(1/('Zadání parametrů'!D$14*(B15)/1000)))*('Zadání parametrů'!D$16-'Zadání parametrů'!D$9)</f>
        <v>21.087249581283057</v>
      </c>
      <c r="K15" s="39">
        <f>J15/1000*24*'Zadání parametrů'!$D$6</f>
        <v>110.83458379922376</v>
      </c>
      <c r="L15" s="39">
        <f>K15*'Zadání parametrů'!$D$18</f>
        <v>159.60224755717553</v>
      </c>
      <c r="M15" s="38">
        <f>PI()/((1/(2*D15)*LN(B15/(B15-2*C15)))+(1/(2*E15)*LN((B15+2*F15)/B15))+(1/('Zadání parametrů'!D$14*(B15+2*F15)/1000)))*('Zadání parametrů'!D$16-'Zadání parametrů'!D$9)</f>
        <v>10.889490165201856</v>
      </c>
      <c r="N15" s="39">
        <f>M15/1000*24*'Zadání parametrů'!$D$6</f>
        <v>57.235160308300955</v>
      </c>
      <c r="O15" s="39">
        <f>N15*'Zadání parametrů'!$D$18</f>
        <v>82.41886161676598</v>
      </c>
      <c r="P15" s="40">
        <f>L15-O15</f>
        <v>77.18338594040955</v>
      </c>
      <c r="Q15" s="8">
        <f>G15/P15*365</f>
        <v>34.048778347570575</v>
      </c>
      <c r="R15" s="45">
        <f>(O15*'Zadání parametrů'!$D$4)+G15</f>
        <v>89.61886161676598</v>
      </c>
    </row>
    <row r="16" spans="1:18" ht="12.75">
      <c r="A16" s="12" t="s">
        <v>6</v>
      </c>
      <c r="B16" s="24">
        <f t="shared" si="1"/>
        <v>20</v>
      </c>
      <c r="C16" s="61">
        <f t="shared" si="1"/>
        <v>2</v>
      </c>
      <c r="D16" s="27">
        <f>D$7</f>
        <v>0.43</v>
      </c>
      <c r="E16" s="27">
        <f>E15</f>
        <v>0.044</v>
      </c>
      <c r="F16" s="29">
        <v>13</v>
      </c>
      <c r="G16" s="6">
        <v>13.2</v>
      </c>
      <c r="H16" s="48" t="str">
        <f>IF(R16=R$19,"OPTIMÁLNÍ","----")</f>
        <v>OPTIMÁLNÍ</v>
      </c>
      <c r="I16" s="37">
        <f>G16/((3.14*(B16+2*F16)^2/4-3.14*B16^2/4)/1000000)</f>
        <v>9799.118079372854</v>
      </c>
      <c r="J16" s="38">
        <f>PI()/((1/(2*D16)*LN(B16/(B16-2*C16)))+(1/('Zadání parametrů'!D$14*(B16)/1000)))*('Zadání parametrů'!D$16-'Zadání parametrů'!D$9)</f>
        <v>21.087249581283057</v>
      </c>
      <c r="K16" s="39">
        <f>J16/1000*24*'Zadání parametrů'!$D$6</f>
        <v>110.83458379922376</v>
      </c>
      <c r="L16" s="39">
        <f>K16*'Zadání parametrů'!$D$18</f>
        <v>159.60224755717553</v>
      </c>
      <c r="M16" s="38">
        <f>PI()/((1/(2*D16)*LN(B16/(B16-2*C16)))+(1/(2*E16)*LN((B16+2*F16)/B16))+(1/('Zadání parametrů'!D$14*(B16+2*F16)/1000)))*('Zadání parametrů'!D$16-'Zadání parametrů'!D$9)</f>
        <v>9.321342187513336</v>
      </c>
      <c r="N16" s="39">
        <f>M16/1000*24*'Zadání parametrů'!$D$6</f>
        <v>48.9929745375701</v>
      </c>
      <c r="O16" s="39">
        <f>N16*'Zadání parametrů'!$D$18</f>
        <v>70.55008087432746</v>
      </c>
      <c r="P16" s="40">
        <f>L16-O16</f>
        <v>89.05216668284807</v>
      </c>
      <c r="Q16" s="8">
        <f>G16/P16*365</f>
        <v>54.10311932284487</v>
      </c>
      <c r="R16" s="45">
        <f>(O16*'Zadání parametrů'!$D$4)+G16</f>
        <v>83.75008087432747</v>
      </c>
    </row>
    <row r="17" spans="1:18" ht="12.75">
      <c r="A17" s="12" t="s">
        <v>6</v>
      </c>
      <c r="B17" s="24">
        <f t="shared" si="1"/>
        <v>20</v>
      </c>
      <c r="C17" s="61">
        <f t="shared" si="1"/>
        <v>2</v>
      </c>
      <c r="D17" s="27">
        <f>D$7</f>
        <v>0.43</v>
      </c>
      <c r="E17" s="27">
        <f>E16</f>
        <v>0.044</v>
      </c>
      <c r="F17" s="29">
        <v>20</v>
      </c>
      <c r="G17" s="50">
        <v>25.6</v>
      </c>
      <c r="H17" s="48" t="str">
        <f>IF(R17=R$19,"OPTIMÁLNÍ","----")</f>
        <v>----</v>
      </c>
      <c r="I17" s="37">
        <f>G17/((3.14*(B17+2*F17)^2/4-3.14*B17^2/4)/1000000)</f>
        <v>10191.082802547771</v>
      </c>
      <c r="J17" s="38">
        <f>PI()/((1/(2*D17)*LN(B17/(B17-2*C17)))+(1/('Zadání parametrů'!D$14*(B17)/1000)))*('Zadání parametrů'!D$16-'Zadání parametrů'!D$9)</f>
        <v>21.087249581283057</v>
      </c>
      <c r="K17" s="39">
        <f>J17/1000*24*'Zadání parametrů'!$D$6</f>
        <v>110.83458379922376</v>
      </c>
      <c r="L17" s="39">
        <f>K17*'Zadání parametrů'!$D$18</f>
        <v>159.60224755717553</v>
      </c>
      <c r="M17" s="38">
        <f>PI()/((1/(2*D17)*LN(B17/(B17-2*C17)))+(1/(2*E17)*LN((B17+2*F17)/B17))+(1/('Zadání parametrů'!D$14*(B17+2*F17)/1000)))*('Zadání parametrů'!D$16-'Zadání parametrů'!D$9)</f>
        <v>7.696385856358381</v>
      </c>
      <c r="N17" s="39">
        <f>M17/1000*24*'Zadání parametrů'!$D$6</f>
        <v>40.45220406101965</v>
      </c>
      <c r="O17" s="39">
        <f>N17*'Zadání parametrů'!$D$18</f>
        <v>58.25133695161182</v>
      </c>
      <c r="P17" s="40">
        <f>L17-O17</f>
        <v>101.35091060556371</v>
      </c>
      <c r="Q17" s="8">
        <f>G17/P17*365</f>
        <v>92.19453425894584</v>
      </c>
      <c r="R17" s="45">
        <f>(O17*'Zadání parametrů'!$D$4)+G17</f>
        <v>83.85133695161181</v>
      </c>
    </row>
    <row r="18" spans="1:18" ht="12.75">
      <c r="A18" s="12" t="s">
        <v>6</v>
      </c>
      <c r="B18" s="24">
        <f t="shared" si="1"/>
        <v>20</v>
      </c>
      <c r="C18" s="61">
        <f t="shared" si="1"/>
        <v>2</v>
      </c>
      <c r="D18" s="27">
        <f>D$7</f>
        <v>0.43</v>
      </c>
      <c r="E18" s="27">
        <f>E17</f>
        <v>0.044</v>
      </c>
      <c r="F18" s="23">
        <v>25</v>
      </c>
      <c r="G18" s="6">
        <v>44</v>
      </c>
      <c r="H18" s="48" t="str">
        <f>IF(R18=R$19,"OPTIMÁLNÍ","----")</f>
        <v>----</v>
      </c>
      <c r="I18" s="37">
        <f>G18/((3.14*(B18+2*F18)^2/4-3.14*B18^2/4)/1000000)</f>
        <v>12455.767869780608</v>
      </c>
      <c r="J18" s="38">
        <f>PI()/((1/(2*D18)*LN(B18/(B18-2*C18)))+(1/('Zadání parametrů'!D$14*(B18)/1000)))*('Zadání parametrů'!D$16-'Zadání parametrů'!D$9)</f>
        <v>21.087249581283057</v>
      </c>
      <c r="K18" s="39">
        <f>J18/1000*24*'Zadání parametrů'!$D$6</f>
        <v>110.83458379922376</v>
      </c>
      <c r="L18" s="39">
        <f>K18*'Zadání parametrů'!$D$18</f>
        <v>159.60224755717553</v>
      </c>
      <c r="M18" s="38">
        <f>PI()/((1/(2*D18)*LN(B18/(B18-2*C18)))+(1/(2*E18)*LN((B18+2*F18)/B18))+(1/('Zadání parametrů'!D$14*(B18+2*F18)/1000)))*('Zadání parametrů'!D$16-'Zadání parametrů'!D$9)</f>
        <v>6.964823887359245</v>
      </c>
      <c r="N18" s="39">
        <f>M18/1000*24*'Zadání parametrů'!$D$6</f>
        <v>36.60711435196019</v>
      </c>
      <c r="O18" s="39">
        <f>N18*'Zadání parametrů'!$D$18</f>
        <v>52.71439226712108</v>
      </c>
      <c r="P18" s="40">
        <f>L18-O18</f>
        <v>106.88785529005446</v>
      </c>
      <c r="Q18" s="8">
        <f>G18/P18*365</f>
        <v>150.25093315249939</v>
      </c>
      <c r="R18" s="45">
        <f>(O18*'Zadání parametrů'!$D$4)+G18</f>
        <v>96.71439226712107</v>
      </c>
    </row>
    <row r="19" spans="1:18" ht="15.75" customHeight="1">
      <c r="A19" s="42"/>
      <c r="B19" s="22"/>
      <c r="C19" s="25"/>
      <c r="D19" s="25"/>
      <c r="E19" s="25"/>
      <c r="F19" s="22"/>
      <c r="G19" s="25"/>
      <c r="H19" s="22"/>
      <c r="I19" s="31"/>
      <c r="J19" s="31"/>
      <c r="K19" s="33"/>
      <c r="L19" s="33"/>
      <c r="M19" s="33"/>
      <c r="N19" s="33"/>
      <c r="O19" s="49" t="s">
        <v>60</v>
      </c>
      <c r="P19" s="34"/>
      <c r="Q19" s="8"/>
      <c r="R19" s="47">
        <f>MIN(R14:R18)</f>
        <v>83.75008087432747</v>
      </c>
    </row>
    <row r="20" spans="1:18" ht="21.75" customHeight="1">
      <c r="A20" s="5" t="s">
        <v>100</v>
      </c>
      <c r="B20" s="22"/>
      <c r="C20" s="42"/>
      <c r="D20" s="42"/>
      <c r="E20" s="25"/>
      <c r="F20" s="22"/>
      <c r="G20" s="25"/>
      <c r="H20" s="22"/>
      <c r="I20" s="31"/>
      <c r="J20" s="31"/>
      <c r="K20" s="33"/>
      <c r="L20" s="33"/>
      <c r="M20" s="33"/>
      <c r="N20" s="33"/>
      <c r="O20" s="33"/>
      <c r="P20" s="34"/>
      <c r="Q20" s="35"/>
      <c r="R20" s="43"/>
    </row>
    <row r="21" spans="1:19" s="18" customFormat="1" ht="12.75">
      <c r="A21" s="4" t="s">
        <v>6</v>
      </c>
      <c r="B21" s="23">
        <v>25</v>
      </c>
      <c r="C21" s="6">
        <v>3</v>
      </c>
      <c r="D21" s="27">
        <f>D$7</f>
        <v>0.43</v>
      </c>
      <c r="E21" s="50">
        <v>0.044</v>
      </c>
      <c r="F21" s="23">
        <v>6</v>
      </c>
      <c r="G21" s="6">
        <v>5.4</v>
      </c>
      <c r="H21" s="48" t="str">
        <f>IF(R21=R$30,"OPTIMÁLNÍ","----")</f>
        <v>----</v>
      </c>
      <c r="I21" s="37">
        <f>G21/((3.14*(B21+2*F21)^2/4-3.14*B21^2/4)/1000000)</f>
        <v>9245.9420587631</v>
      </c>
      <c r="J21" s="38">
        <f>PI()/((1/(2*D21)*LN(B21/(B21-2*C21)))+(1/('Zadání parametrů'!D$14*(B21)/1000)))*('Zadání parametrů'!D$16-'Zadání parametrů'!D$9)</f>
        <v>25.6783628099386</v>
      </c>
      <c r="K21" s="39">
        <f>J21/1000*24*'Zadání parametrů'!$D$6</f>
        <v>134.9654749290373</v>
      </c>
      <c r="L21" s="39">
        <f>K21*'Zadání parametrů'!$D$18</f>
        <v>194.35082808013252</v>
      </c>
      <c r="M21" s="38">
        <f>PI()/((1/(2*D21)*LN(B21/(B21-2*C21)))+(1/(2*E21)*LN((B21+2*F21)/B21))+(1/('Zadání parametrů'!D$14*(B21+2*F21)/1000)))*('Zadání parametrů'!D$16-'Zadání parametrů'!D$9)</f>
        <v>14.833506522640462</v>
      </c>
      <c r="N21" s="39">
        <f>M21/1000*24*'Zadání parametrů'!$D$6</f>
        <v>77.96491028299826</v>
      </c>
      <c r="O21" s="39">
        <f>N21*'Zadání parametrů'!$D$18</f>
        <v>112.26978516291607</v>
      </c>
      <c r="P21" s="40">
        <f>L21-O21</f>
        <v>82.08104291721645</v>
      </c>
      <c r="Q21" s="8">
        <f>G21/P21*365</f>
        <v>24.012852784873473</v>
      </c>
      <c r="R21" s="45">
        <f>(O21*'Zadání parametrů'!$D$4)+G21</f>
        <v>117.66978516291607</v>
      </c>
      <c r="S21" s="46"/>
    </row>
    <row r="22" spans="1:18" ht="12.75">
      <c r="A22" s="4" t="s">
        <v>6</v>
      </c>
      <c r="B22" s="24">
        <f aca="true" t="shared" si="2" ref="B22:C25">B$21</f>
        <v>25</v>
      </c>
      <c r="C22" s="61">
        <f t="shared" si="2"/>
        <v>3</v>
      </c>
      <c r="D22" s="27">
        <f>D$7</f>
        <v>0.43</v>
      </c>
      <c r="E22" s="27">
        <f>E21</f>
        <v>0.044</v>
      </c>
      <c r="F22" s="23">
        <v>9</v>
      </c>
      <c r="G22" s="6">
        <v>8.4</v>
      </c>
      <c r="H22" s="48" t="str">
        <f>IF(R22=R$30,"OPTIMÁLNÍ","----")</f>
        <v>----</v>
      </c>
      <c r="I22" s="37">
        <f>G22/((3.14*(B22+2*F22)^2/4-3.14*B22^2/4)/1000000)</f>
        <v>8742.350443362056</v>
      </c>
      <c r="J22" s="38">
        <f>PI()/((1/(2*D22)*LN(B22/(B22-2*C22)))+(1/('Zadání parametrů'!D$14*(B22)/1000)))*('Zadání parametrů'!D$16-'Zadání parametrů'!D$9)</f>
        <v>25.6783628099386</v>
      </c>
      <c r="K22" s="39">
        <f>J22/1000*24*'Zadání parametrů'!$D$6</f>
        <v>134.9654749290373</v>
      </c>
      <c r="L22" s="39">
        <f>K22*'Zadání parametrů'!$D$18</f>
        <v>194.35082808013252</v>
      </c>
      <c r="M22" s="38">
        <f>PI()/((1/(2*D22)*LN(B22/(B22-2*C22)))+(1/(2*E22)*LN((B22+2*F22)/B22))+(1/('Zadání parametrů'!D$14*(B22+2*F22)/1000)))*('Zadání parametrů'!D$16-'Zadání parametrů'!D$9)</f>
        <v>12.592463007160049</v>
      </c>
      <c r="N22" s="39">
        <f>M22/1000*24*'Zadání parametrů'!$D$6</f>
        <v>66.18598556563322</v>
      </c>
      <c r="O22" s="39">
        <f>N22*'Zadání parametrů'!$D$18</f>
        <v>95.30808607715294</v>
      </c>
      <c r="P22" s="40">
        <f>L22-O22</f>
        <v>99.04274200297958</v>
      </c>
      <c r="Q22" s="8">
        <f>G22/P22*365</f>
        <v>30.956331963302908</v>
      </c>
      <c r="R22" s="45">
        <f>(O22*'Zadání parametrů'!$D$4)+G22</f>
        <v>103.70808607715294</v>
      </c>
    </row>
    <row r="23" spans="1:18" ht="12.75">
      <c r="A23" s="4" t="s">
        <v>6</v>
      </c>
      <c r="B23" s="24">
        <f t="shared" si="2"/>
        <v>25</v>
      </c>
      <c r="C23" s="61">
        <f t="shared" si="2"/>
        <v>3</v>
      </c>
      <c r="D23" s="27">
        <f>D$7</f>
        <v>0.43</v>
      </c>
      <c r="E23" s="27">
        <f>E22</f>
        <v>0.044</v>
      </c>
      <c r="F23" s="29">
        <v>13</v>
      </c>
      <c r="G23" s="6">
        <v>15.9</v>
      </c>
      <c r="H23" s="48" t="str">
        <f>IF(R23=R$30,"OPTIMÁLNÍ","----")</f>
        <v>----</v>
      </c>
      <c r="I23" s="37">
        <f>G23/((3.14*(B23+2*F23)^2/4-3.14*B23^2/4)/1000000)</f>
        <v>10250.393254080816</v>
      </c>
      <c r="J23" s="38">
        <f>PI()/((1/(2*D23)*LN(B23/(B23-2*C23)))+(1/('Zadání parametrů'!D$14*(B23)/1000)))*('Zadání parametrů'!D$16-'Zadání parametrů'!D$9)</f>
        <v>25.6783628099386</v>
      </c>
      <c r="K23" s="39">
        <f>J23/1000*24*'Zadání parametrů'!$D$6</f>
        <v>134.9654749290373</v>
      </c>
      <c r="L23" s="39">
        <f>K23*'Zadání parametrů'!$D$18</f>
        <v>194.35082808013252</v>
      </c>
      <c r="M23" s="38">
        <f>PI()/((1/(2*D23)*LN(B23/(B23-2*C23)))+(1/(2*E23)*LN((B23+2*F23)/B23))+(1/('Zadání parametrů'!D$14*(B23+2*F23)/1000)))*('Zadání parametrů'!D$16-'Zadání parametrů'!D$9)</f>
        <v>10.683107446484902</v>
      </c>
      <c r="N23" s="39">
        <f>M23/1000*24*'Zadání parametrů'!$D$6</f>
        <v>56.15041273872465</v>
      </c>
      <c r="O23" s="39">
        <f>N23*'Zadání parametrů'!$D$18</f>
        <v>80.85682074286164</v>
      </c>
      <c r="P23" s="40">
        <f>L23-O23</f>
        <v>113.49400733727087</v>
      </c>
      <c r="Q23" s="8">
        <f>G23/P23*365</f>
        <v>51.134858448990194</v>
      </c>
      <c r="R23" s="45">
        <f>(O23*'Zadání parametrů'!$D$4)+G23</f>
        <v>96.75682074286165</v>
      </c>
    </row>
    <row r="24" spans="1:18" ht="12.75">
      <c r="A24" s="4" t="s">
        <v>6</v>
      </c>
      <c r="B24" s="24">
        <f t="shared" si="2"/>
        <v>25</v>
      </c>
      <c r="C24" s="61">
        <f t="shared" si="2"/>
        <v>3</v>
      </c>
      <c r="D24" s="27">
        <f>D$7</f>
        <v>0.43</v>
      </c>
      <c r="E24" s="27">
        <f>E23</f>
        <v>0.044</v>
      </c>
      <c r="F24" s="23">
        <v>20</v>
      </c>
      <c r="G24" s="50">
        <v>29.8</v>
      </c>
      <c r="H24" s="48" t="str">
        <f>IF(R24=R$30,"OPTIMÁLNÍ","----")</f>
        <v>OPTIMÁLNÍ</v>
      </c>
      <c r="I24" s="37">
        <f>G24/((3.14*(B24+2*F24)^2/4-3.14*B24^2/4)/1000000)</f>
        <v>10544.939844302902</v>
      </c>
      <c r="J24" s="38">
        <f>PI()/((1/(2*D24)*LN(B24/(B24-2*C24)))+(1/('Zadání parametrů'!D$14*(B24)/1000)))*('Zadání parametrů'!D$16-'Zadání parametrů'!D$9)</f>
        <v>25.6783628099386</v>
      </c>
      <c r="K24" s="39">
        <f>J24/1000*24*'Zadání parametrů'!$D$6</f>
        <v>134.9654749290373</v>
      </c>
      <c r="L24" s="39">
        <f>K24*'Zadání parametrů'!$D$18</f>
        <v>194.35082808013252</v>
      </c>
      <c r="M24" s="38">
        <f>PI()/((1/(2*D24)*LN(B24/(B24-2*C24)))+(1/(2*E24)*LN((B24+2*F24)/B24))+(1/('Zadání parametrů'!D$14*(B24+2*F24)/1000)))*('Zadání parametrů'!D$16-'Zadání parametrů'!D$9)</f>
        <v>8.722138806151904</v>
      </c>
      <c r="N24" s="39">
        <f>M24/1000*24*'Zadání parametrů'!$D$6</f>
        <v>45.8435615651344</v>
      </c>
      <c r="O24" s="39">
        <f>N24*'Zadání parametrů'!$D$18</f>
        <v>66.01491349555138</v>
      </c>
      <c r="P24" s="40">
        <f>L24-O24</f>
        <v>128.33591458458113</v>
      </c>
      <c r="Q24" s="8">
        <f>G24/P24*365</f>
        <v>84.75413944107905</v>
      </c>
      <c r="R24" s="45">
        <f>(O24*'Zadání parametrů'!$D$4)+G24</f>
        <v>95.81491349555138</v>
      </c>
    </row>
    <row r="25" spans="1:18" ht="12.75">
      <c r="A25" s="4" t="s">
        <v>6</v>
      </c>
      <c r="B25" s="24">
        <f t="shared" si="2"/>
        <v>25</v>
      </c>
      <c r="C25" s="61">
        <f t="shared" si="2"/>
        <v>3</v>
      </c>
      <c r="D25" s="27">
        <f>D$7</f>
        <v>0.43</v>
      </c>
      <c r="E25" s="27">
        <f>E24</f>
        <v>0.044</v>
      </c>
      <c r="F25" s="23">
        <v>25</v>
      </c>
      <c r="G25" s="6">
        <v>48</v>
      </c>
      <c r="H25" s="48" t="str">
        <f>IF(R25=R$30,"OPTIMÁLNÍ","----")</f>
        <v>----</v>
      </c>
      <c r="I25" s="37">
        <f>G25/((3.14*(B25+2*F25)^2/4-3.14*B25^2/4)/1000000)</f>
        <v>12229.299363057326</v>
      </c>
      <c r="J25" s="38">
        <f>PI()/((1/(2*D25)*LN(B25/(B25-2*C25)))+(1/('Zadání parametrů'!D$14*(B25)/1000)))*('Zadání parametrů'!D$16-'Zadání parametrů'!D$9)</f>
        <v>25.6783628099386</v>
      </c>
      <c r="K25" s="39">
        <f>J25/1000*24*'Zadání parametrů'!$D$6</f>
        <v>134.9654749290373</v>
      </c>
      <c r="L25" s="39">
        <f>K25*'Zadání parametrů'!$D$18</f>
        <v>194.35082808013252</v>
      </c>
      <c r="M25" s="38">
        <f>PI()/((1/(2*D25)*LN(B25/(B25-2*C25)))+(1/(2*E25)*LN((B25+2*F25)/B25))+(1/('Zadání parametrů'!D$14*(B25+2*F25)/1000)))*('Zadání parametrů'!D$16-'Zadání parametrů'!D$9)</f>
        <v>7.8453900156664815</v>
      </c>
      <c r="N25" s="39">
        <f>M25/1000*24*'Zadání parametrů'!$D$6</f>
        <v>41.23536992234302</v>
      </c>
      <c r="O25" s="39">
        <f>N25*'Zadání parametrů'!$D$18</f>
        <v>59.37909894965106</v>
      </c>
      <c r="P25" s="40">
        <f>L25-O25</f>
        <v>134.97172913048146</v>
      </c>
      <c r="Q25" s="8">
        <f>G25/P25*365</f>
        <v>129.80496073413164</v>
      </c>
      <c r="R25" s="45">
        <f>(O25*'Zadání parametrů'!$D$4)+G25</f>
        <v>107.37909894965105</v>
      </c>
    </row>
    <row r="26" spans="1:18" ht="12.75">
      <c r="A26" s="4"/>
      <c r="B26" s="24"/>
      <c r="C26" s="61"/>
      <c r="D26" s="27"/>
      <c r="E26" s="27"/>
      <c r="F26" s="23"/>
      <c r="G26" s="6"/>
      <c r="H26" s="48"/>
      <c r="I26" s="37"/>
      <c r="J26" s="38"/>
      <c r="K26" s="39"/>
      <c r="L26" s="39"/>
      <c r="M26" s="38"/>
      <c r="N26" s="39"/>
      <c r="O26" s="39"/>
      <c r="P26" s="40"/>
      <c r="Q26" s="8"/>
      <c r="R26" s="45"/>
    </row>
    <row r="27" spans="1:18" ht="12.75">
      <c r="A27" s="4" t="s">
        <v>15</v>
      </c>
      <c r="B27" s="24">
        <f aca="true" t="shared" si="3" ref="B27:C29">B$21</f>
        <v>25</v>
      </c>
      <c r="C27" s="61">
        <f t="shared" si="3"/>
        <v>3</v>
      </c>
      <c r="D27" s="27">
        <f>D$7</f>
        <v>0.43</v>
      </c>
      <c r="E27" s="50">
        <v>0.038</v>
      </c>
      <c r="F27" s="23">
        <v>20</v>
      </c>
      <c r="G27" s="6">
        <v>72</v>
      </c>
      <c r="H27" s="48" t="str">
        <f>IF(R27=R$30,"OPTIMÁLNÍ","----")</f>
        <v>----</v>
      </c>
      <c r="I27" s="37">
        <f>G27/((3.14*(B27+2*F27)^2/4-3.14*B27^2/4)/1000000)</f>
        <v>25477.707006369426</v>
      </c>
      <c r="J27" s="38">
        <f>PI()/((1/(2*D27)*LN(B27/(B27-2*C27)))+(1/('Zadání parametrů'!D$14*(B27)/1000)))*('Zadání parametrů'!D$16-'Zadání parametrů'!D$9)</f>
        <v>25.6783628099386</v>
      </c>
      <c r="K27" s="39">
        <f>J27/1000*24*'Zadání parametrů'!$D$6</f>
        <v>134.9654749290373</v>
      </c>
      <c r="L27" s="39">
        <f>K27*'Zadání parametrů'!$D$18</f>
        <v>194.35082808013252</v>
      </c>
      <c r="M27" s="38">
        <f>PI()/((1/(2*D27)*LN(B27/(B27-2*C27)))+(1/(2*E27)*LN((B27+2*F27)/B27))+(1/('Zadání parametrů'!D$14*(B27+2*F27)/1000)))*('Zadání parametrů'!D$16-'Zadání parametrů'!D$9)</f>
        <v>7.68586449128579</v>
      </c>
      <c r="N27" s="39">
        <f>M27/1000*24*'Zadání parametrů'!$D$6</f>
        <v>40.396903766198115</v>
      </c>
      <c r="O27" s="39">
        <f>N27*'Zadání parametrů'!$D$18</f>
        <v>58.17170430409739</v>
      </c>
      <c r="P27" s="40">
        <f>L27-O27</f>
        <v>136.1791237760351</v>
      </c>
      <c r="Q27" s="8">
        <f>G27/P27*365</f>
        <v>192.98112127098858</v>
      </c>
      <c r="R27" s="45">
        <f>(O27*'Zadání parametrů'!$D$4)+G27</f>
        <v>130.17170430409737</v>
      </c>
    </row>
    <row r="28" spans="1:18" ht="12.75">
      <c r="A28" s="4" t="s">
        <v>15</v>
      </c>
      <c r="B28" s="24">
        <f t="shared" si="3"/>
        <v>25</v>
      </c>
      <c r="C28" s="61">
        <f t="shared" si="3"/>
        <v>3</v>
      </c>
      <c r="D28" s="27">
        <f>D$7</f>
        <v>0.43</v>
      </c>
      <c r="E28" s="27">
        <f>E27</f>
        <v>0.038</v>
      </c>
      <c r="F28" s="23">
        <v>25</v>
      </c>
      <c r="G28" s="6">
        <v>76</v>
      </c>
      <c r="H28" s="48" t="str">
        <f>IF(R28=R$30,"OPTIMÁLNÍ","----")</f>
        <v>----</v>
      </c>
      <c r="I28" s="37">
        <f>G28/((3.14*(B28+2*F28)^2/4-3.14*B28^2/4)/1000000)</f>
        <v>19363.057324840767</v>
      </c>
      <c r="J28" s="38">
        <f>PI()/((1/(2*D28)*LN(B28/(B28-2*C28)))+(1/('Zadání parametrů'!D$14*(B28)/1000)))*('Zadání parametrů'!D$16-'Zadání parametrů'!D$9)</f>
        <v>25.6783628099386</v>
      </c>
      <c r="K28" s="39">
        <f>J28/1000*24*'Zadání parametrů'!$D$6</f>
        <v>134.9654749290373</v>
      </c>
      <c r="L28" s="39">
        <f>K28*'Zadání parametrů'!$D$18</f>
        <v>194.35082808013252</v>
      </c>
      <c r="M28" s="38">
        <f>PI()/((1/(2*D28)*LN(B28/(B28-2*C28)))+(1/(2*E28)*LN((B28+2*F28)/B28))+(1/('Zadání parametrů'!D$14*(B28+2*F28)/1000)))*('Zadání parametrů'!D$16-'Zadání parametrů'!D$9)</f>
        <v>6.8853135251350865</v>
      </c>
      <c r="N28" s="39">
        <f>M28/1000*24*'Zadání parametrů'!$D$6</f>
        <v>36.18920788811001</v>
      </c>
      <c r="O28" s="39">
        <f>N28*'Zadání parametrů'!$D$18</f>
        <v>52.112605274173234</v>
      </c>
      <c r="P28" s="40">
        <f>L28-O28</f>
        <v>142.23822280595928</v>
      </c>
      <c r="Q28" s="8">
        <f>G28/P28*365</f>
        <v>195.0249338944763</v>
      </c>
      <c r="R28" s="45">
        <f>(O28*'Zadání parametrů'!$D$4)+G28</f>
        <v>128.11260527417323</v>
      </c>
    </row>
    <row r="29" spans="1:18" ht="12.75">
      <c r="A29" s="4" t="s">
        <v>15</v>
      </c>
      <c r="B29" s="24">
        <f t="shared" si="3"/>
        <v>25</v>
      </c>
      <c r="C29" s="61">
        <f t="shared" si="3"/>
        <v>3</v>
      </c>
      <c r="D29" s="27">
        <f>D$7</f>
        <v>0.43</v>
      </c>
      <c r="E29" s="27">
        <f>E28</f>
        <v>0.038</v>
      </c>
      <c r="F29" s="23">
        <v>30</v>
      </c>
      <c r="G29" s="6">
        <v>81</v>
      </c>
      <c r="H29" s="48" t="str">
        <f>IF(R29=R$30,"OPTIMÁLNÍ","----")</f>
        <v>----</v>
      </c>
      <c r="I29" s="37">
        <f>G29/((3.14*(B29+2*F29)^2/4-3.14*B29^2/4)/1000000)</f>
        <v>15634.04748118124</v>
      </c>
      <c r="J29" s="38">
        <f>PI()/((1/(2*D29)*LN(B29/(B29-2*C29)))+(1/('Zadání parametrů'!D$14*(B29)/1000)))*('Zadání parametrů'!D$16-'Zadání parametrů'!D$9)</f>
        <v>25.6783628099386</v>
      </c>
      <c r="K29" s="39">
        <f>J29/1000*24*'Zadání parametrů'!$D$6</f>
        <v>134.9654749290373</v>
      </c>
      <c r="L29" s="39">
        <f>K29*'Zadání parametrů'!$D$18</f>
        <v>194.35082808013252</v>
      </c>
      <c r="M29" s="38">
        <f>PI()/((1/(2*D29)*LN(B29/(B29-2*C29)))+(1/(2*E29)*LN((B29+2*F29)/B29))+(1/('Zadání parametrů'!D$14*(B29+2*F29)/1000)))*('Zadání parametrů'!D$16-'Zadání parametrů'!D$9)</f>
        <v>6.302331196003299</v>
      </c>
      <c r="N29" s="39">
        <f>M29/1000*24*'Zadání parametrů'!$D$6</f>
        <v>33.125052766193335</v>
      </c>
      <c r="O29" s="39">
        <f>N29*'Zadání parametrů'!$D$18</f>
        <v>47.70020954390517</v>
      </c>
      <c r="P29" s="40">
        <f>L29-O29</f>
        <v>146.65061853622734</v>
      </c>
      <c r="Q29" s="8">
        <f>G29/P29*365</f>
        <v>201.6016045148593</v>
      </c>
      <c r="R29" s="45">
        <f>(O29*'Zadání parametrů'!$D$4)+G29</f>
        <v>128.70020954390517</v>
      </c>
    </row>
    <row r="30" spans="1:18" ht="15.75" customHeight="1">
      <c r="A30" s="42"/>
      <c r="B30" s="22"/>
      <c r="C30" s="25"/>
      <c r="D30" s="25"/>
      <c r="E30" s="25"/>
      <c r="F30" s="22"/>
      <c r="G30" s="25"/>
      <c r="H30" s="22"/>
      <c r="I30" s="31"/>
      <c r="J30" s="31"/>
      <c r="K30" s="33"/>
      <c r="L30" s="33"/>
      <c r="M30" s="33"/>
      <c r="N30" s="33"/>
      <c r="O30" s="49" t="s">
        <v>60</v>
      </c>
      <c r="P30" s="34"/>
      <c r="Q30" s="8"/>
      <c r="R30" s="47">
        <f>MIN(R21:R29)</f>
        <v>95.81491349555138</v>
      </c>
    </row>
    <row r="31" spans="1:18" ht="21.75" customHeight="1">
      <c r="A31" s="5" t="s">
        <v>101</v>
      </c>
      <c r="B31" s="22"/>
      <c r="C31" s="42"/>
      <c r="D31" s="42"/>
      <c r="E31" s="25"/>
      <c r="F31" s="22"/>
      <c r="G31" s="25"/>
      <c r="H31" s="22"/>
      <c r="I31" s="31"/>
      <c r="J31" s="31"/>
      <c r="K31" s="33"/>
      <c r="L31" s="33"/>
      <c r="M31" s="33"/>
      <c r="N31" s="33"/>
      <c r="O31" s="33"/>
      <c r="P31" s="34"/>
      <c r="Q31" s="35"/>
      <c r="R31" s="43"/>
    </row>
    <row r="32" spans="1:18" ht="12.75">
      <c r="A32" s="4" t="s">
        <v>6</v>
      </c>
      <c r="B32" s="23">
        <v>32</v>
      </c>
      <c r="C32" s="6">
        <v>3</v>
      </c>
      <c r="D32" s="27">
        <f>D$7</f>
        <v>0.43</v>
      </c>
      <c r="E32" s="50">
        <v>0.044</v>
      </c>
      <c r="F32" s="23">
        <v>6</v>
      </c>
      <c r="G32" s="6">
        <v>6.3</v>
      </c>
      <c r="H32" s="48" t="str">
        <f>IF(R32=R$42,"OPTIMÁLNÍ","----")</f>
        <v>----</v>
      </c>
      <c r="I32" s="37">
        <f>G32/((3.14*(B32+2*F32)^2/4-3.14*B32^2/4)/1000000)</f>
        <v>8799.86590680523</v>
      </c>
      <c r="J32" s="38">
        <f>PI()/((1/(2*D32)*LN(B32/(B32-2*C32)))+(1/('Zadání parametrů'!D$14*(B32)/1000)))*('Zadání parametrů'!D$16-'Zadání parametrů'!D$9)</f>
        <v>32.94510037026818</v>
      </c>
      <c r="K32" s="39">
        <f>J32/1000*24*'Zadání parametrů'!$D$6</f>
        <v>173.15944754612957</v>
      </c>
      <c r="L32" s="39">
        <f>K32*'Zadání parametrů'!$D$18</f>
        <v>249.35030264727422</v>
      </c>
      <c r="M32" s="38">
        <f>PI()/((1/(2*D32)*LN(B32/(B32-2*C32)))+(1/(2*E32)*LN((B32+2*F32)/B32))+(1/('Zadání parametrů'!D$14*(B32+2*F32)/1000)))*('Zadání parametrů'!D$16-'Zadání parametrů'!D$9)</f>
        <v>18.083882219584872</v>
      </c>
      <c r="N32" s="39">
        <f>M32/1000*24*'Zadání parametrů'!$D$6</f>
        <v>95.0488849461381</v>
      </c>
      <c r="O32" s="39">
        <f>N32*'Zadání parametrů'!$D$18</f>
        <v>136.87077756061618</v>
      </c>
      <c r="P32" s="40">
        <f>L32-O32</f>
        <v>112.47952508665804</v>
      </c>
      <c r="Q32" s="8">
        <f>G32/P32*365</f>
        <v>20.443720741427267</v>
      </c>
      <c r="R32" s="45">
        <f>(O32*'Zadání parametrů'!$D$4)+G32</f>
        <v>143.1707775606162</v>
      </c>
    </row>
    <row r="33" spans="1:18" ht="12.75">
      <c r="A33" s="4" t="s">
        <v>6</v>
      </c>
      <c r="B33" s="24">
        <f aca="true" t="shared" si="4" ref="B33:C36">B$32</f>
        <v>32</v>
      </c>
      <c r="C33" s="61">
        <f t="shared" si="4"/>
        <v>3</v>
      </c>
      <c r="D33" s="27">
        <f>D$7</f>
        <v>0.43</v>
      </c>
      <c r="E33" s="27">
        <f>E32</f>
        <v>0.044</v>
      </c>
      <c r="F33" s="23">
        <v>9</v>
      </c>
      <c r="G33" s="6">
        <v>9.9</v>
      </c>
      <c r="H33" s="48" t="str">
        <f>IF(R33=R$42,"OPTIMÁLNÍ","----")</f>
        <v>----</v>
      </c>
      <c r="I33" s="37">
        <f>G33/((3.14*(B33+2*F33)^2/4-3.14*B33^2/4)/1000000)</f>
        <v>8544.352959453163</v>
      </c>
      <c r="J33" s="38">
        <f>PI()/((1/(2*D33)*LN(B33/(B33-2*C33)))+(1/('Zadání parametrů'!D$14*(B33)/1000)))*('Zadání parametrů'!D$16-'Zadání parametrů'!D$9)</f>
        <v>32.94510037026818</v>
      </c>
      <c r="K33" s="39">
        <f>J33/1000*24*'Zadání parametrů'!$D$6</f>
        <v>173.15944754612957</v>
      </c>
      <c r="L33" s="39">
        <f>K33*'Zadání parametrů'!$D$18</f>
        <v>249.35030264727422</v>
      </c>
      <c r="M33" s="38">
        <f>PI()/((1/(2*D33)*LN(B33/(B33-2*C33)))+(1/(2*E33)*LN((B33+2*F33)/B33))+(1/('Zadání parametrů'!D$14*(B33+2*F33)/1000)))*('Zadání parametrů'!D$16-'Zadání parametrů'!D$9)</f>
        <v>15.16607105446655</v>
      </c>
      <c r="N33" s="39">
        <f>M33/1000*24*'Zadání parametrů'!$D$6</f>
        <v>79.71286946227619</v>
      </c>
      <c r="O33" s="39">
        <f>N33*'Zadání parametrů'!$D$18</f>
        <v>114.78685342886742</v>
      </c>
      <c r="P33" s="40">
        <f>L33-O33</f>
        <v>134.5634492184068</v>
      </c>
      <c r="Q33" s="8">
        <f>G33/P33*365</f>
        <v>26.853503094551424</v>
      </c>
      <c r="R33" s="45">
        <f>(O33*'Zadání parametrů'!$D$4)+G33</f>
        <v>124.68685342886742</v>
      </c>
    </row>
    <row r="34" spans="1:18" ht="12.75">
      <c r="A34" s="4" t="s">
        <v>6</v>
      </c>
      <c r="B34" s="24">
        <f t="shared" si="4"/>
        <v>32</v>
      </c>
      <c r="C34" s="61">
        <f t="shared" si="4"/>
        <v>3</v>
      </c>
      <c r="D34" s="27">
        <f>D$7</f>
        <v>0.43</v>
      </c>
      <c r="E34" s="27">
        <f>E33</f>
        <v>0.044</v>
      </c>
      <c r="F34" s="29">
        <v>13</v>
      </c>
      <c r="G34" s="50">
        <v>19.2</v>
      </c>
      <c r="H34" s="48" t="str">
        <f>IF(R34=R$42,"OPTIMÁLNÍ","----")</f>
        <v>----</v>
      </c>
      <c r="I34" s="37">
        <f>G34/((3.14*(B34+2*F34)^2/4-3.14*B34^2/4)/1000000)</f>
        <v>10452.392617997713</v>
      </c>
      <c r="J34" s="38">
        <f>PI()/((1/(2*D34)*LN(B34/(B34-2*C34)))+(1/('Zadání parametrů'!D$14*(B34)/1000)))*('Zadání parametrů'!D$16-'Zadání parametrů'!D$9)</f>
        <v>32.94510037026818</v>
      </c>
      <c r="K34" s="39">
        <f>J34/1000*24*'Zadání parametrů'!$D$6</f>
        <v>173.15944754612957</v>
      </c>
      <c r="L34" s="39">
        <f>K34*'Zadání parametrů'!$D$18</f>
        <v>249.35030264727422</v>
      </c>
      <c r="M34" s="38">
        <f>PI()/((1/(2*D34)*LN(B34/(B34-2*C34)))+(1/(2*E34)*LN((B34+2*F34)/B34))+(1/('Zadání parametrů'!D$14*(B34+2*F34)/1000)))*('Zadání parametrů'!D$16-'Zadání parametrů'!D$9)</f>
        <v>12.713507953090055</v>
      </c>
      <c r="N34" s="39">
        <f>M34/1000*24*'Zadání parametrů'!$D$6</f>
        <v>66.82219780144133</v>
      </c>
      <c r="O34" s="39">
        <f>N34*'Zadání parametrů'!$D$18</f>
        <v>96.22423426193154</v>
      </c>
      <c r="P34" s="40">
        <f>L34-O34</f>
        <v>153.12606838534268</v>
      </c>
      <c r="Q34" s="8">
        <f>G34/P34*365</f>
        <v>45.76621129175945</v>
      </c>
      <c r="R34" s="45">
        <f>(O34*'Zadání parametrů'!$D$4)+G34</f>
        <v>115.42423426193155</v>
      </c>
    </row>
    <row r="35" spans="1:18" ht="12.75">
      <c r="A35" s="4" t="s">
        <v>6</v>
      </c>
      <c r="B35" s="24">
        <f t="shared" si="4"/>
        <v>32</v>
      </c>
      <c r="C35" s="61">
        <f t="shared" si="4"/>
        <v>3</v>
      </c>
      <c r="D35" s="27">
        <f>D$7</f>
        <v>0.43</v>
      </c>
      <c r="E35" s="27">
        <f>E34</f>
        <v>0.044</v>
      </c>
      <c r="F35" s="23">
        <v>20</v>
      </c>
      <c r="G35" s="6">
        <v>35</v>
      </c>
      <c r="H35" s="48" t="str">
        <f>IF(R35=R$42,"OPTIMÁLNÍ","----")</f>
        <v>OPTIMÁLNÍ</v>
      </c>
      <c r="I35" s="37">
        <f>G35/((3.14*(B35+2*F35)^2/4-3.14*B35^2/4)/1000000)</f>
        <v>10717.785399314062</v>
      </c>
      <c r="J35" s="38">
        <f>PI()/((1/(2*D35)*LN(B35/(B35-2*C35)))+(1/('Zadání parametrů'!D$14*(B35)/1000)))*('Zadání parametrů'!D$16-'Zadání parametrů'!D$9)</f>
        <v>32.94510037026818</v>
      </c>
      <c r="K35" s="39">
        <f>J35/1000*24*'Zadání parametrů'!$D$6</f>
        <v>173.15944754612957</v>
      </c>
      <c r="L35" s="39">
        <f>K35*'Zadání parametrů'!$D$18</f>
        <v>249.35030264727422</v>
      </c>
      <c r="M35" s="38">
        <f>PI()/((1/(2*D35)*LN(B35/(B35-2*C35)))+(1/(2*E35)*LN((B35+2*F35)/B35))+(1/('Zadání parametrů'!D$14*(B35+2*F35)/1000)))*('Zadání parametrů'!D$16-'Zadání parametrů'!D$9)</f>
        <v>10.226203660503925</v>
      </c>
      <c r="N35" s="39">
        <f>M35/1000*24*'Zadání parametrů'!$D$6</f>
        <v>53.74892643960863</v>
      </c>
      <c r="O35" s="39">
        <f>N35*'Zadání parametrů'!$D$18</f>
        <v>77.3986707893147</v>
      </c>
      <c r="P35" s="40">
        <f>L35-O35</f>
        <v>171.9516318579595</v>
      </c>
      <c r="Q35" s="8">
        <f>G35/P35*365</f>
        <v>74.29414808085554</v>
      </c>
      <c r="R35" s="45">
        <f>(O35*'Zadání parametrů'!$D$4)+G35</f>
        <v>112.3986707893147</v>
      </c>
    </row>
    <row r="36" spans="1:18" ht="12.75">
      <c r="A36" s="4" t="s">
        <v>6</v>
      </c>
      <c r="B36" s="24">
        <f t="shared" si="4"/>
        <v>32</v>
      </c>
      <c r="C36" s="61">
        <f t="shared" si="4"/>
        <v>3</v>
      </c>
      <c r="D36" s="27">
        <f>D$7</f>
        <v>0.43</v>
      </c>
      <c r="E36" s="27">
        <f>E35</f>
        <v>0.044</v>
      </c>
      <c r="F36" s="23">
        <v>25</v>
      </c>
      <c r="G36" s="6">
        <v>52</v>
      </c>
      <c r="H36" s="48" t="str">
        <f>IF(R36=R$42,"OPTIMÁLNÍ","----")</f>
        <v>----</v>
      </c>
      <c r="I36" s="37">
        <f>G36/((3.14*(B36+2*F36)^2/4-3.14*B36^2/4)/1000000)</f>
        <v>11621.410213431667</v>
      </c>
      <c r="J36" s="38">
        <f>PI()/((1/(2*D36)*LN(B36/(B36-2*C36)))+(1/('Zadání parametrů'!D$14*(B36)/1000)))*('Zadání parametrů'!D$16-'Zadání parametrů'!D$9)</f>
        <v>32.94510037026818</v>
      </c>
      <c r="K36" s="39">
        <f>J36/1000*24*'Zadání parametrů'!$D$6</f>
        <v>173.15944754612957</v>
      </c>
      <c r="L36" s="39">
        <f>K36*'Zadání parametrů'!$D$18</f>
        <v>249.35030264727422</v>
      </c>
      <c r="M36" s="38">
        <f>PI()/((1/(2*D36)*LN(B36/(B36-2*C36)))+(1/(2*E36)*LN((B36+2*F36)/B36))+(1/('Zadání parametrů'!D$14*(B36+2*F36)/1000)))*('Zadání parametrů'!D$16-'Zadání parametrů'!D$9)</f>
        <v>9.125245566897831</v>
      </c>
      <c r="N36" s="39">
        <f>M36/1000*24*'Zadání parametrů'!$D$6</f>
        <v>47.962290699615004</v>
      </c>
      <c r="O36" s="39">
        <f>N36*'Zadání parametrů'!$D$18</f>
        <v>69.06589199194325</v>
      </c>
      <c r="P36" s="40">
        <f>L36-O36</f>
        <v>180.284410655331</v>
      </c>
      <c r="Q36" s="8">
        <f>G36/P36*365</f>
        <v>105.27809881624263</v>
      </c>
      <c r="R36" s="45">
        <f>(O36*'Zadání parametrů'!$D$4)+G36</f>
        <v>121.06589199194325</v>
      </c>
    </row>
    <row r="37" spans="1:18" ht="12.75">
      <c r="A37" s="4"/>
      <c r="B37" s="24"/>
      <c r="C37" s="61"/>
      <c r="D37" s="27"/>
      <c r="E37" s="27"/>
      <c r="F37" s="23"/>
      <c r="G37" s="6"/>
      <c r="H37" s="48"/>
      <c r="I37" s="37"/>
      <c r="J37" s="38"/>
      <c r="K37" s="39"/>
      <c r="L37" s="39"/>
      <c r="M37" s="38"/>
      <c r="N37" s="39"/>
      <c r="O37" s="39"/>
      <c r="P37" s="40"/>
      <c r="Q37" s="8"/>
      <c r="R37" s="45"/>
    </row>
    <row r="38" spans="1:18" ht="12.75">
      <c r="A38" s="4" t="s">
        <v>15</v>
      </c>
      <c r="B38" s="24">
        <f aca="true" t="shared" si="5" ref="B38:C41">B$32</f>
        <v>32</v>
      </c>
      <c r="C38" s="61">
        <f t="shared" si="5"/>
        <v>3</v>
      </c>
      <c r="D38" s="27">
        <f>D$7</f>
        <v>0.43</v>
      </c>
      <c r="E38" s="50">
        <v>0.038</v>
      </c>
      <c r="F38" s="23">
        <v>20</v>
      </c>
      <c r="G38" s="6">
        <v>75</v>
      </c>
      <c r="H38" s="48" t="str">
        <f>IF(R38=R$42,"OPTIMÁLNÍ","----")</f>
        <v>----</v>
      </c>
      <c r="I38" s="37">
        <f>G38/((3.14*(B38+2*F38)^2/4-3.14*B38^2/4)/1000000)</f>
        <v>22966.682998530134</v>
      </c>
      <c r="J38" s="38">
        <f>PI()/((1/(2*D38)*LN(B38/(B38-2*C38)))+(1/('Zadání parametrů'!D$14*(B38)/1000)))*('Zadání parametrů'!D$16-'Zadání parametrů'!D$9)</f>
        <v>32.94510037026818</v>
      </c>
      <c r="K38" s="39">
        <f>J38/1000*24*'Zadání parametrů'!$D$6</f>
        <v>173.15944754612957</v>
      </c>
      <c r="L38" s="39">
        <f>K38*'Zadání parametrů'!$D$18</f>
        <v>249.35030264727422</v>
      </c>
      <c r="M38" s="38">
        <f>PI()/((1/(2*D38)*LN(B38/(B38-2*C38)))+(1/(2*E38)*LN((B38+2*F38)/B38))+(1/('Zadání parametrů'!D$14*(B38+2*F38)/1000)))*('Zadání parametrů'!D$16-'Zadání parametrů'!D$9)</f>
        <v>9.016549028610395</v>
      </c>
      <c r="N38" s="39">
        <f>M38/1000*24*'Zadání parametrů'!$D$6</f>
        <v>47.39098169437624</v>
      </c>
      <c r="O38" s="39">
        <f>N38*'Zadání parametrů'!$D$18</f>
        <v>68.24320472087507</v>
      </c>
      <c r="P38" s="40">
        <f>L38-O38</f>
        <v>181.10709792639915</v>
      </c>
      <c r="Q38" s="8">
        <f>G38/P38*365</f>
        <v>151.1536561152619</v>
      </c>
      <c r="R38" s="45">
        <f>(O38*'Zadání parametrů'!$D$4)+G38</f>
        <v>143.24320472087507</v>
      </c>
    </row>
    <row r="39" spans="1:18" ht="12.75">
      <c r="A39" s="4" t="s">
        <v>15</v>
      </c>
      <c r="B39" s="24">
        <f t="shared" si="5"/>
        <v>32</v>
      </c>
      <c r="C39" s="61">
        <f t="shared" si="5"/>
        <v>3</v>
      </c>
      <c r="D39" s="27">
        <f>D$7</f>
        <v>0.43</v>
      </c>
      <c r="E39" s="27">
        <f>E38</f>
        <v>0.038</v>
      </c>
      <c r="F39" s="23">
        <v>25</v>
      </c>
      <c r="G39" s="6">
        <v>79</v>
      </c>
      <c r="H39" s="48" t="str">
        <f>IF(R39=R$42,"OPTIMÁLNÍ","----")</f>
        <v>----</v>
      </c>
      <c r="I39" s="37">
        <f>G39/((3.14*(B39+2*F39)^2/4-3.14*B39^2/4)/1000000)</f>
        <v>17655.603978098112</v>
      </c>
      <c r="J39" s="38">
        <f>PI()/((1/(2*D39)*LN(B39/(B39-2*C39)))+(1/('Zadání parametrů'!D$14*(B39)/1000)))*('Zadání parametrů'!D$16-'Zadání parametrů'!D$9)</f>
        <v>32.94510037026818</v>
      </c>
      <c r="K39" s="39">
        <f>J39/1000*24*'Zadání parametrů'!$D$6</f>
        <v>173.15944754612957</v>
      </c>
      <c r="L39" s="39">
        <f>K39*'Zadání parametrů'!$D$18</f>
        <v>249.35030264727422</v>
      </c>
      <c r="M39" s="38">
        <f>PI()/((1/(2*D39)*LN(B39/(B39-2*C39)))+(1/(2*E39)*LN((B39+2*F39)/B39))+(1/('Zadání parametrů'!D$14*(B39+2*F39)/1000)))*('Zadání parametrů'!D$16-'Zadání parametrů'!D$9)</f>
        <v>8.012225973198115</v>
      </c>
      <c r="N39" s="39">
        <f>M39/1000*24*'Zadání parametrů'!$D$6</f>
        <v>42.11225971512929</v>
      </c>
      <c r="O39" s="39">
        <f>N39*'Zadání parametrů'!$D$18</f>
        <v>60.64182378689284</v>
      </c>
      <c r="P39" s="40">
        <f>L39-O39</f>
        <v>188.70847886038138</v>
      </c>
      <c r="Q39" s="8">
        <f>G39/P39*365</f>
        <v>152.80182519691647</v>
      </c>
      <c r="R39" s="45">
        <f>(O39*'Zadání parametrů'!$D$4)+G39</f>
        <v>139.64182378689284</v>
      </c>
    </row>
    <row r="40" spans="1:18" ht="12.75">
      <c r="A40" s="4" t="s">
        <v>15</v>
      </c>
      <c r="B40" s="24">
        <f t="shared" si="5"/>
        <v>32</v>
      </c>
      <c r="C40" s="61">
        <f t="shared" si="5"/>
        <v>3</v>
      </c>
      <c r="D40" s="27">
        <f>D$7</f>
        <v>0.43</v>
      </c>
      <c r="E40" s="27">
        <f>E39</f>
        <v>0.038</v>
      </c>
      <c r="F40" s="23">
        <v>30</v>
      </c>
      <c r="G40" s="6">
        <v>83</v>
      </c>
      <c r="H40" s="48" t="str">
        <f>IF(R40=R$42,"OPTIMÁLNÍ","----")</f>
        <v>----</v>
      </c>
      <c r="I40" s="37">
        <f>G40/((3.14*(B40+2*F40)^2/4-3.14*B40^2/4)/1000000)</f>
        <v>14211.355386617353</v>
      </c>
      <c r="J40" s="38">
        <f>PI()/((1/(2*D40)*LN(B40/(B40-2*C40)))+(1/('Zadání parametrů'!D$14*(B40)/1000)))*('Zadání parametrů'!D$16-'Zadání parametrů'!D$9)</f>
        <v>32.94510037026818</v>
      </c>
      <c r="K40" s="39">
        <f>J40/1000*24*'Zadání parametrů'!$D$6</f>
        <v>173.15944754612957</v>
      </c>
      <c r="L40" s="39">
        <f>K40*'Zadání parametrů'!$D$18</f>
        <v>249.35030264727422</v>
      </c>
      <c r="M40" s="38">
        <f>PI()/((1/(2*D40)*LN(B40/(B40-2*C40)))+(1/(2*E40)*LN((B40+2*F40)/B40))+(1/('Zadání parametrů'!D$14*(B40+2*F40)/1000)))*('Zadání parametrů'!D$16-'Zadání parametrů'!D$9)</f>
        <v>7.285141673783612</v>
      </c>
      <c r="N40" s="39">
        <f>M40/1000*24*'Zadání parametrů'!$D$6</f>
        <v>38.29070463740666</v>
      </c>
      <c r="O40" s="39">
        <f>N40*'Zadání parametrů'!$D$18</f>
        <v>55.13876906641903</v>
      </c>
      <c r="P40" s="40">
        <f>L40-O40</f>
        <v>194.2115335808552</v>
      </c>
      <c r="Q40" s="8">
        <f>G40/P40*365</f>
        <v>155.9897058708278</v>
      </c>
      <c r="R40" s="45">
        <f>(O40*'Zadání parametrů'!$D$4)+G40</f>
        <v>138.13876906641903</v>
      </c>
    </row>
    <row r="41" spans="1:18" ht="12.75">
      <c r="A41" s="4" t="s">
        <v>15</v>
      </c>
      <c r="B41" s="24">
        <f t="shared" si="5"/>
        <v>32</v>
      </c>
      <c r="C41" s="61">
        <f t="shared" si="5"/>
        <v>3</v>
      </c>
      <c r="D41" s="27">
        <f>D$7</f>
        <v>0.43</v>
      </c>
      <c r="E41" s="27">
        <f>E40</f>
        <v>0.038</v>
      </c>
      <c r="F41" s="23">
        <v>40</v>
      </c>
      <c r="G41" s="6">
        <v>96</v>
      </c>
      <c r="H41" s="48" t="str">
        <f>IF(R41=R$42,"OPTIMÁLNÍ","----")</f>
        <v>----</v>
      </c>
      <c r="I41" s="37">
        <f>G41/((3.14*(B41+2*F41)^2/4-3.14*B41^2/4)/1000000)</f>
        <v>10615.711252653926</v>
      </c>
      <c r="J41" s="38">
        <f>PI()/((1/(2*D41)*LN(B41/(B41-2*C41)))+(1/('Zadání parametrů'!D$14*(B41)/1000)))*('Zadání parametrů'!D$16-'Zadání parametrů'!D$9)</f>
        <v>32.94510037026818</v>
      </c>
      <c r="K41" s="39">
        <f>J41/1000*24*'Zadání parametrů'!$D$6</f>
        <v>173.15944754612957</v>
      </c>
      <c r="L41" s="39">
        <f>K41*'Zadání parametrů'!$D$18</f>
        <v>249.35030264727422</v>
      </c>
      <c r="M41" s="38">
        <f>PI()/((1/(2*D41)*LN(B41/(B41-2*C41)))+(1/(2*E41)*LN((B41+2*F41)/B41))+(1/('Zadání parametrů'!D$14*(B41+2*F41)/1000)))*('Zadání parametrů'!D$16-'Zadání parametrů'!D$9)</f>
        <v>6.29513026948602</v>
      </c>
      <c r="N41" s="39">
        <f>M41/1000*24*'Zadání parametrů'!$D$6</f>
        <v>33.08720469641852</v>
      </c>
      <c r="O41" s="39">
        <f>N41*'Zadání parametrů'!$D$18</f>
        <v>47.645708170825586</v>
      </c>
      <c r="P41" s="40">
        <f>L41-O41</f>
        <v>201.70459447644862</v>
      </c>
      <c r="Q41" s="8">
        <f>G41/P41*365</f>
        <v>173.719394399275</v>
      </c>
      <c r="R41" s="45">
        <f>(O41*'Zadání parametrů'!$D$4)+G41</f>
        <v>143.64570817082557</v>
      </c>
    </row>
    <row r="42" spans="1:18" ht="15.75" customHeight="1">
      <c r="A42" s="42"/>
      <c r="B42" s="22"/>
      <c r="C42" s="25"/>
      <c r="D42" s="25"/>
      <c r="E42" s="25"/>
      <c r="F42" s="22"/>
      <c r="G42" s="25"/>
      <c r="H42" s="22"/>
      <c r="I42" s="31"/>
      <c r="J42" s="31"/>
      <c r="K42" s="33"/>
      <c r="L42" s="33"/>
      <c r="M42" s="33"/>
      <c r="N42" s="33"/>
      <c r="O42" s="49" t="s">
        <v>60</v>
      </c>
      <c r="P42" s="34"/>
      <c r="Q42" s="8"/>
      <c r="R42" s="47">
        <f>MIN(R32:R41)</f>
        <v>112.3986707893147</v>
      </c>
    </row>
    <row r="43" spans="1:18" ht="21.75" customHeight="1">
      <c r="A43" s="5" t="s">
        <v>102</v>
      </c>
      <c r="B43" s="22"/>
      <c r="C43" s="42"/>
      <c r="D43" s="42"/>
      <c r="E43" s="25"/>
      <c r="F43" s="22"/>
      <c r="G43" s="25"/>
      <c r="H43" s="22"/>
      <c r="I43" s="31"/>
      <c r="J43" s="31"/>
      <c r="K43" s="33"/>
      <c r="L43" s="33"/>
      <c r="M43" s="33"/>
      <c r="N43" s="33"/>
      <c r="O43" s="33"/>
      <c r="P43" s="34"/>
      <c r="Q43" s="35"/>
      <c r="R43" s="43"/>
    </row>
    <row r="44" spans="1:18" ht="12.75">
      <c r="A44" s="4" t="s">
        <v>15</v>
      </c>
      <c r="B44" s="23">
        <v>40</v>
      </c>
      <c r="C44" s="6">
        <v>3.5</v>
      </c>
      <c r="D44" s="27">
        <f>D$7</f>
        <v>0.43</v>
      </c>
      <c r="E44" s="50">
        <v>0.038</v>
      </c>
      <c r="F44" s="23">
        <v>20</v>
      </c>
      <c r="G44" s="6">
        <v>77</v>
      </c>
      <c r="H44" s="48" t="str">
        <f>IF(R44=R$49,"OPTIMÁLNÍ","----")</f>
        <v>----</v>
      </c>
      <c r="I44" s="37">
        <f>G44/((3.14*(B44+2*F44)^2/4-3.14*B44^2/4)/1000000)</f>
        <v>20435.24416135881</v>
      </c>
      <c r="J44" s="38">
        <f>PI()/((1/(2*D44)*LN(B44/(B44-2*C44)))+(1/('Zadání parametrů'!D$14*(B44)/1000)))*('Zadání parametrů'!D$16-'Zadání parametrů'!D$9)</f>
        <v>40.719689839998104</v>
      </c>
      <c r="K44" s="39">
        <f>J44/1000*24*'Zadání parametrů'!$D$6</f>
        <v>214.02268979903002</v>
      </c>
      <c r="L44" s="39">
        <f>K44*'Zadání parametrů'!$D$18</f>
        <v>308.19353625250506</v>
      </c>
      <c r="M44" s="38">
        <f>PI()/((1/(2*D44)*LN(B44/(B44-2*C44)))+(1/(2*E44)*LN((B44+2*F44)/B44))+(1/('Zadání parametrů'!D$14*(B44+2*F44)/1000)))*('Zadání parametrů'!D$16-'Zadání parametrů'!D$9)</f>
        <v>10.46887486053008</v>
      </c>
      <c r="N44" s="39">
        <f>M44/1000*24*'Zadání parametrů'!$D$6</f>
        <v>55.0244062669461</v>
      </c>
      <c r="O44" s="39">
        <f>N44*'Zadání parametrů'!$D$18</f>
        <v>79.23536688342973</v>
      </c>
      <c r="P44" s="40">
        <f>L44-O44</f>
        <v>228.95816936907534</v>
      </c>
      <c r="Q44" s="8">
        <f>G44/P44*365</f>
        <v>122.75168026302386</v>
      </c>
      <c r="R44" s="45">
        <f>(O44*'Zadání parametrů'!$D$4)+G44</f>
        <v>156.23536688342972</v>
      </c>
    </row>
    <row r="45" spans="1:18" ht="12.75">
      <c r="A45" s="4" t="s">
        <v>15</v>
      </c>
      <c r="B45" s="24">
        <f aca="true" t="shared" si="6" ref="B45:C48">B$44</f>
        <v>40</v>
      </c>
      <c r="C45" s="61">
        <f t="shared" si="6"/>
        <v>3.5</v>
      </c>
      <c r="D45" s="27">
        <f>D$7</f>
        <v>0.43</v>
      </c>
      <c r="E45" s="27">
        <f>E44</f>
        <v>0.038</v>
      </c>
      <c r="F45" s="23">
        <v>25</v>
      </c>
      <c r="G45" s="6">
        <v>83</v>
      </c>
      <c r="H45" s="48" t="str">
        <f>IF(R45=R$49,"OPTIMÁLNÍ","----")</f>
        <v>----</v>
      </c>
      <c r="I45" s="37">
        <f>G45/((3.14*(B45+2*F45)^2/4-3.14*B45^2/4)/1000000)</f>
        <v>16266.53601175894</v>
      </c>
      <c r="J45" s="38">
        <f>PI()/((1/(2*D45)*LN(B45/(B45-2*C45)))+(1/('Zadání parametrů'!D$14*(B45)/1000)))*('Zadání parametrů'!D$16-'Zadání parametrů'!D$9)</f>
        <v>40.719689839998104</v>
      </c>
      <c r="K45" s="39">
        <f>J45/1000*24*'Zadání parametrů'!$D$6</f>
        <v>214.02268979903002</v>
      </c>
      <c r="L45" s="39">
        <f>K45*'Zadání parametrů'!$D$18</f>
        <v>308.19353625250506</v>
      </c>
      <c r="M45" s="38">
        <f>PI()/((1/(2*D45)*LN(B45/(B45-2*C45)))+(1/(2*E45)*LN((B45+2*F45)/B45))+(1/('Zadání parametrů'!D$14*(B45+2*F45)/1000)))*('Zadání parametrů'!D$16-'Zadání parametrů'!D$9)</f>
        <v>9.238513319683081</v>
      </c>
      <c r="N45" s="39">
        <f>M45/1000*24*'Zadání parametrů'!$D$6</f>
        <v>48.55762600825427</v>
      </c>
      <c r="O45" s="39">
        <f>N45*'Zadání parametrů'!$D$18</f>
        <v>69.92317723678248</v>
      </c>
      <c r="P45" s="40">
        <f>L45-O45</f>
        <v>238.2703590157226</v>
      </c>
      <c r="Q45" s="8">
        <f>G45/P45*365</f>
        <v>127.14548349675732</v>
      </c>
      <c r="R45" s="45">
        <f>(O45*'Zadání parametrů'!$D$4)+G45</f>
        <v>152.92317723678246</v>
      </c>
    </row>
    <row r="46" spans="1:18" ht="12.75">
      <c r="A46" s="4" t="s">
        <v>15</v>
      </c>
      <c r="B46" s="24">
        <f t="shared" si="6"/>
        <v>40</v>
      </c>
      <c r="C46" s="61">
        <f t="shared" si="6"/>
        <v>3.5</v>
      </c>
      <c r="D46" s="27">
        <f>D$7</f>
        <v>0.43</v>
      </c>
      <c r="E46" s="27">
        <f>E45</f>
        <v>0.038</v>
      </c>
      <c r="F46" s="23">
        <v>30</v>
      </c>
      <c r="G46" s="6">
        <v>89</v>
      </c>
      <c r="H46" s="48" t="str">
        <f>IF(R46=R$49,"OPTIMÁLNÍ","----")</f>
        <v>OPTIMÁLNÍ</v>
      </c>
      <c r="I46" s="37">
        <f>G46/((3.14*(B46+2*F46)^2/4-3.14*B46^2/4)/1000000)</f>
        <v>13497.118592659994</v>
      </c>
      <c r="J46" s="38">
        <f>PI()/((1/(2*D46)*LN(B46/(B46-2*C46)))+(1/('Zadání parametrů'!D$14*(B46)/1000)))*('Zadání parametrů'!D$16-'Zadání parametrů'!D$9)</f>
        <v>40.719689839998104</v>
      </c>
      <c r="K46" s="39">
        <f>J46/1000*24*'Zadání parametrů'!$D$6</f>
        <v>214.02268979903002</v>
      </c>
      <c r="L46" s="39">
        <f>K46*'Zadání parametrů'!$D$18</f>
        <v>308.19353625250506</v>
      </c>
      <c r="M46" s="38">
        <f>PI()/((1/(2*D46)*LN(B46/(B46-2*C46)))+(1/(2*E46)*LN((B46+2*F46)/B46))+(1/('Zadání parametrů'!D$14*(B46+2*F46)/1000)))*('Zadání parametrů'!D$16-'Zadání parametrů'!D$9)</f>
        <v>8.351395154065193</v>
      </c>
      <c r="N46" s="39">
        <f>M46/1000*24*'Zadání parametrů'!$D$6</f>
        <v>43.894932929766654</v>
      </c>
      <c r="O46" s="39">
        <f>N46*'Zadání parametrů'!$D$18</f>
        <v>63.208880403729175</v>
      </c>
      <c r="P46" s="40">
        <f>L46-O46</f>
        <v>244.98465584877587</v>
      </c>
      <c r="Q46" s="8">
        <f>G46/P46*365</f>
        <v>132.60014137396564</v>
      </c>
      <c r="R46" s="45">
        <f>(O46*'Zadání parametrů'!$D$4)+G46</f>
        <v>152.20888040372918</v>
      </c>
    </row>
    <row r="47" spans="1:18" ht="12.75">
      <c r="A47" s="4" t="s">
        <v>15</v>
      </c>
      <c r="B47" s="24">
        <f t="shared" si="6"/>
        <v>40</v>
      </c>
      <c r="C47" s="61">
        <f t="shared" si="6"/>
        <v>3.5</v>
      </c>
      <c r="D47" s="27">
        <f>D$7</f>
        <v>0.43</v>
      </c>
      <c r="E47" s="27">
        <f>E46</f>
        <v>0.038</v>
      </c>
      <c r="F47" s="23">
        <v>40</v>
      </c>
      <c r="G47" s="6">
        <v>102</v>
      </c>
      <c r="H47" s="48" t="str">
        <f>IF(R47=R$49,"OPTIMÁLNÍ","----")</f>
        <v>----</v>
      </c>
      <c r="I47" s="37">
        <f>G47/((3.14*(B47+2*F47)^2/4-3.14*B47^2/4)/1000000)</f>
        <v>10151.27388535032</v>
      </c>
      <c r="J47" s="38">
        <f>PI()/((1/(2*D47)*LN(B47/(B47-2*C47)))+(1/('Zadání parametrů'!D$14*(B47)/1000)))*('Zadání parametrů'!D$16-'Zadání parametrů'!D$9)</f>
        <v>40.719689839998104</v>
      </c>
      <c r="K47" s="39">
        <f>J47/1000*24*'Zadání parametrů'!$D$6</f>
        <v>214.02268979903002</v>
      </c>
      <c r="L47" s="39">
        <f>K47*'Zadání parametrů'!$D$18</f>
        <v>308.19353625250506</v>
      </c>
      <c r="M47" s="38">
        <f>PI()/((1/(2*D47)*LN(B47/(B47-2*C47)))+(1/(2*E47)*LN((B47+2*F47)/B47))+(1/('Zadání parametrů'!D$14*(B47+2*F47)/1000)))*('Zadání parametrů'!D$16-'Zadání parametrů'!D$9)</f>
        <v>7.14959701161568</v>
      </c>
      <c r="N47" s="39">
        <f>M47/1000*24*'Zadání parametrů'!$D$6</f>
        <v>37.578281893052015</v>
      </c>
      <c r="O47" s="39">
        <f>N47*'Zadání parametrů'!$D$18</f>
        <v>54.11287744205179</v>
      </c>
      <c r="P47" s="40">
        <f>L47-O47</f>
        <v>254.08065881045326</v>
      </c>
      <c r="Q47" s="8">
        <f>G47/P47*365</f>
        <v>146.52827245608628</v>
      </c>
      <c r="R47" s="45">
        <f>(O47*'Zadání parametrů'!$D$4)+G47</f>
        <v>156.1128774420518</v>
      </c>
    </row>
    <row r="48" spans="1:18" ht="12.75">
      <c r="A48" s="4" t="s">
        <v>15</v>
      </c>
      <c r="B48" s="24">
        <f t="shared" si="6"/>
        <v>40</v>
      </c>
      <c r="C48" s="61">
        <f t="shared" si="6"/>
        <v>3.5</v>
      </c>
      <c r="D48" s="27">
        <f>D$7</f>
        <v>0.43</v>
      </c>
      <c r="E48" s="27">
        <f>E47</f>
        <v>0.038</v>
      </c>
      <c r="F48" s="23">
        <v>50</v>
      </c>
      <c r="G48" s="6">
        <v>115</v>
      </c>
      <c r="H48" s="48" t="str">
        <f>IF(R48=R$49,"OPTIMÁLNÍ","----")</f>
        <v>----</v>
      </c>
      <c r="I48" s="37">
        <f>G48/((3.14*(B48+2*F48)^2/4-3.14*B48^2/4)/1000000)</f>
        <v>8138.711960368011</v>
      </c>
      <c r="J48" s="38">
        <f>PI()/((1/(2*D48)*LN(B48/(B48-2*C48)))+(1/('Zadání parametrů'!D$14*(B48)/1000)))*('Zadání parametrů'!D$16-'Zadání parametrů'!D$9)</f>
        <v>40.719689839998104</v>
      </c>
      <c r="K48" s="39">
        <f>J48/1000*24*'Zadání parametrů'!$D$6</f>
        <v>214.02268979903002</v>
      </c>
      <c r="L48" s="39">
        <f>K48*'Zadání parametrů'!$D$18</f>
        <v>308.19353625250506</v>
      </c>
      <c r="M48" s="38">
        <f>PI()/((1/(2*D48)*LN(B48/(B48-2*C48)))+(1/(2*E48)*LN((B48+2*F48)/B48))+(1/('Zadání parametrů'!D$14*(B48+2*F48)/1000)))*('Zadání parametrů'!D$16-'Zadání parametrů'!D$9)</f>
        <v>6.366069802353719</v>
      </c>
      <c r="N48" s="39">
        <f>M48/1000*24*'Zadání parametrů'!$D$6</f>
        <v>33.46006288117115</v>
      </c>
      <c r="O48" s="39">
        <f>N48*'Zadání parametrů'!$D$18</f>
        <v>48.18262546023779</v>
      </c>
      <c r="P48" s="40">
        <f>L48-O48</f>
        <v>260.0109107922673</v>
      </c>
      <c r="Q48" s="8">
        <f>G48/P48*365</f>
        <v>161.43553311705233</v>
      </c>
      <c r="R48" s="45">
        <f>(O48*'Zadání parametrů'!$D$4)+G48</f>
        <v>163.18262546023777</v>
      </c>
    </row>
    <row r="49" spans="1:18" ht="15.75" customHeight="1">
      <c r="A49" s="42"/>
      <c r="B49" s="22"/>
      <c r="C49" s="25"/>
      <c r="D49" s="25"/>
      <c r="E49" s="25"/>
      <c r="F49" s="22"/>
      <c r="G49" s="25"/>
      <c r="H49" s="22"/>
      <c r="I49" s="31"/>
      <c r="J49" s="31"/>
      <c r="K49" s="33"/>
      <c r="L49" s="33"/>
      <c r="M49" s="33"/>
      <c r="N49" s="33"/>
      <c r="O49" s="49" t="s">
        <v>60</v>
      </c>
      <c r="P49" s="34"/>
      <c r="Q49" s="8"/>
      <c r="R49" s="47">
        <f>MIN(R44:R48)</f>
        <v>152.20888040372918</v>
      </c>
    </row>
    <row r="50" spans="1:18" ht="21.75" customHeight="1">
      <c r="A50" s="5" t="s">
        <v>103</v>
      </c>
      <c r="B50" s="22"/>
      <c r="C50" s="42"/>
      <c r="D50" s="42"/>
      <c r="E50" s="25"/>
      <c r="F50" s="22"/>
      <c r="G50" s="25"/>
      <c r="H50" s="22"/>
      <c r="I50" s="31"/>
      <c r="J50" s="31"/>
      <c r="K50" s="33"/>
      <c r="L50" s="33"/>
      <c r="M50" s="33"/>
      <c r="N50" s="33"/>
      <c r="O50" s="33"/>
      <c r="P50" s="34"/>
      <c r="Q50" s="35"/>
      <c r="R50" s="43"/>
    </row>
    <row r="51" spans="1:18" ht="12.75">
      <c r="A51" s="4" t="s">
        <v>15</v>
      </c>
      <c r="B51" s="23">
        <v>50</v>
      </c>
      <c r="C51" s="6">
        <v>4</v>
      </c>
      <c r="D51" s="27">
        <f aca="true" t="shared" si="7" ref="D51:D56">D$7</f>
        <v>0.43</v>
      </c>
      <c r="E51" s="50">
        <v>0.038</v>
      </c>
      <c r="F51" s="23">
        <v>20</v>
      </c>
      <c r="G51" s="6">
        <v>79</v>
      </c>
      <c r="H51" s="48" t="str">
        <f aca="true" t="shared" si="8" ref="H51:H56">IF(R51=R$57,"OPTIMÁLNÍ","----")</f>
        <v>----</v>
      </c>
      <c r="I51" s="37">
        <f aca="true" t="shared" si="9" ref="I51:I56">G51/((3.14*(B51+2*F51)^2/4-3.14*B51^2/4)/1000000)</f>
        <v>17970.88262056415</v>
      </c>
      <c r="J51" s="38">
        <f>PI()/((1/(2*D51)*LN(B51/(B51-2*C51)))+(1/('Zadání parametrů'!D$14*(B51)/1000)))*('Zadání parametrů'!D$16-'Zadání parametrů'!D$9)</f>
        <v>50.34998095170306</v>
      </c>
      <c r="K51" s="39">
        <f>J51/1000*24*'Zadání parametrů'!$D$6</f>
        <v>264.63949988215126</v>
      </c>
      <c r="L51" s="39">
        <f>K51*'Zadání parametrů'!$D$18</f>
        <v>381.0819468597494</v>
      </c>
      <c r="M51" s="38">
        <f>PI()/((1/(2*D51)*LN(B51/(B51-2*C51)))+(1/(2*E51)*LN((B51+2*F51)/B51))+(1/('Zadání parametrů'!D$14*(B51+2*F51)/1000)))*('Zadání parametrů'!D$16-'Zadání parametrů'!D$9)</f>
        <v>12.257866803367245</v>
      </c>
      <c r="N51" s="39">
        <f>M51/1000*24*'Zadání parametrů'!$D$6</f>
        <v>64.42734791849824</v>
      </c>
      <c r="O51" s="39">
        <f>N51*'Zadání parametrů'!$D$18</f>
        <v>92.77564077443172</v>
      </c>
      <c r="P51" s="40">
        <f aca="true" t="shared" si="10" ref="P51:P56">L51-O51</f>
        <v>288.30630608531766</v>
      </c>
      <c r="Q51" s="8">
        <f aca="true" t="shared" si="11" ref="Q51:Q56">G51/P51*365</f>
        <v>100.01515537945585</v>
      </c>
      <c r="R51" s="45">
        <f>(O51*'Zadání parametrů'!$D$4)+G51</f>
        <v>171.77564077443174</v>
      </c>
    </row>
    <row r="52" spans="1:18" ht="12.75">
      <c r="A52" s="4" t="s">
        <v>15</v>
      </c>
      <c r="B52" s="24">
        <f aca="true" t="shared" si="12" ref="B52:C56">B$51</f>
        <v>50</v>
      </c>
      <c r="C52" s="61">
        <f t="shared" si="12"/>
        <v>4</v>
      </c>
      <c r="D52" s="27">
        <f t="shared" si="7"/>
        <v>0.43</v>
      </c>
      <c r="E52" s="27">
        <f>E51</f>
        <v>0.038</v>
      </c>
      <c r="F52" s="23">
        <v>25</v>
      </c>
      <c r="G52" s="6">
        <v>86</v>
      </c>
      <c r="H52" s="48" t="str">
        <f t="shared" si="8"/>
        <v>OPTIMÁLNÍ</v>
      </c>
      <c r="I52" s="37">
        <f t="shared" si="9"/>
        <v>14607.218683651803</v>
      </c>
      <c r="J52" s="38">
        <f>PI()/((1/(2*D52)*LN(B52/(B52-2*C52)))+(1/('Zadání parametrů'!D$14*(B52)/1000)))*('Zadání parametrů'!D$16-'Zadání parametrů'!D$9)</f>
        <v>50.34998095170306</v>
      </c>
      <c r="K52" s="39">
        <f>J52/1000*24*'Zadání parametrů'!$D$6</f>
        <v>264.63949988215126</v>
      </c>
      <c r="L52" s="39">
        <f>K52*'Zadání parametrů'!$D$18</f>
        <v>381.0819468597494</v>
      </c>
      <c r="M52" s="38">
        <f>PI()/((1/(2*D52)*LN(B52/(B52-2*C52)))+(1/(2*E52)*LN((B52+2*F52)/B52))+(1/('Zadání parametrů'!D$14*(B52+2*F52)/1000)))*('Zadání parametrů'!D$16-'Zadání parametrů'!D$9)</f>
        <v>10.743652938966987</v>
      </c>
      <c r="N52" s="39">
        <f>M52/1000*24*'Zadání parametrů'!$D$6</f>
        <v>56.46863984721048</v>
      </c>
      <c r="O52" s="39">
        <f>N52*'Zadání parametrů'!$D$18</f>
        <v>81.31506906217655</v>
      </c>
      <c r="P52" s="40">
        <f t="shared" si="10"/>
        <v>299.7668777975729</v>
      </c>
      <c r="Q52" s="8">
        <f t="shared" si="11"/>
        <v>104.71470440839396</v>
      </c>
      <c r="R52" s="45">
        <f>(O52*'Zadání parametrů'!$D$4)+G52</f>
        <v>167.31506906217655</v>
      </c>
    </row>
    <row r="53" spans="1:18" ht="12.75">
      <c r="A53" s="4" t="s">
        <v>15</v>
      </c>
      <c r="B53" s="24">
        <f t="shared" si="12"/>
        <v>50</v>
      </c>
      <c r="C53" s="61">
        <f t="shared" si="12"/>
        <v>4</v>
      </c>
      <c r="D53" s="27">
        <f t="shared" si="7"/>
        <v>0.43</v>
      </c>
      <c r="E53" s="27">
        <f>E52</f>
        <v>0.038</v>
      </c>
      <c r="F53" s="23">
        <v>30</v>
      </c>
      <c r="G53" s="6">
        <v>95</v>
      </c>
      <c r="H53" s="48" t="str">
        <f t="shared" si="8"/>
        <v>----</v>
      </c>
      <c r="I53" s="37">
        <f t="shared" si="9"/>
        <v>12606.157112526538</v>
      </c>
      <c r="J53" s="38">
        <f>PI()/((1/(2*D53)*LN(B53/(B53-2*C53)))+(1/('Zadání parametrů'!D$14*(B53)/1000)))*('Zadání parametrů'!D$16-'Zadání parametrů'!D$9)</f>
        <v>50.34998095170306</v>
      </c>
      <c r="K53" s="39">
        <f>J53/1000*24*'Zadání parametrů'!$D$6</f>
        <v>264.63949988215126</v>
      </c>
      <c r="L53" s="39">
        <f>K53*'Zadání parametrů'!$D$18</f>
        <v>381.0819468597494</v>
      </c>
      <c r="M53" s="38">
        <f>PI()/((1/(2*D53)*LN(B53/(B53-2*C53)))+(1/(2*E53)*LN((B53+2*F53)/B53))+(1/('Zadání parametrů'!D$14*(B53+2*F53)/1000)))*('Zadání parametrů'!D$16-'Zadání parametrů'!D$9)</f>
        <v>9.655682464029379</v>
      </c>
      <c r="N53" s="39">
        <f>M53/1000*24*'Zadání parametrů'!$D$6</f>
        <v>50.75026703093842</v>
      </c>
      <c r="O53" s="39">
        <f>N53*'Zadání parametrů'!$D$18</f>
        <v>73.080589150201</v>
      </c>
      <c r="P53" s="40">
        <f t="shared" si="10"/>
        <v>308.0013577095484</v>
      </c>
      <c r="Q53" s="8">
        <f t="shared" si="11"/>
        <v>112.58067255891525</v>
      </c>
      <c r="R53" s="45">
        <f>(O53*'Zadání parametrů'!$D$4)+G53</f>
        <v>168.080589150201</v>
      </c>
    </row>
    <row r="54" spans="1:18" ht="12.75">
      <c r="A54" s="4" t="s">
        <v>15</v>
      </c>
      <c r="B54" s="24">
        <f t="shared" si="12"/>
        <v>50</v>
      </c>
      <c r="C54" s="61">
        <f t="shared" si="12"/>
        <v>4</v>
      </c>
      <c r="D54" s="27">
        <f t="shared" si="7"/>
        <v>0.43</v>
      </c>
      <c r="E54" s="27">
        <f>E53</f>
        <v>0.038</v>
      </c>
      <c r="F54" s="23">
        <v>40</v>
      </c>
      <c r="G54" s="6">
        <v>106</v>
      </c>
      <c r="H54" s="48" t="str">
        <f t="shared" si="8"/>
        <v>----</v>
      </c>
      <c r="I54" s="37">
        <f t="shared" si="9"/>
        <v>9377.21160651097</v>
      </c>
      <c r="J54" s="38">
        <f>PI()/((1/(2*D54)*LN(B54/(B54-2*C54)))+(1/('Zadání parametrů'!D$14*(B54)/1000)))*('Zadání parametrů'!D$16-'Zadání parametrů'!D$9)</f>
        <v>50.34998095170306</v>
      </c>
      <c r="K54" s="39">
        <f>J54/1000*24*'Zadání parametrů'!$D$6</f>
        <v>264.63949988215126</v>
      </c>
      <c r="L54" s="39">
        <f>K54*'Zadání parametrů'!$D$18</f>
        <v>381.0819468597494</v>
      </c>
      <c r="M54" s="38">
        <f>PI()/((1/(2*D54)*LN(B54/(B54-2*C54)))+(1/(2*E54)*LN((B54+2*F54)/B54))+(1/('Zadání parametrů'!D$14*(B54+2*F54)/1000)))*('Zadání parametrů'!D$16-'Zadání parametrů'!D$9)</f>
        <v>8.188405109014452</v>
      </c>
      <c r="N54" s="39">
        <f>M54/1000*24*'Zadání parametrů'!$D$6</f>
        <v>43.03825725297995</v>
      </c>
      <c r="O54" s="39">
        <f>N54*'Zadání parametrů'!$D$18</f>
        <v>61.97526397503032</v>
      </c>
      <c r="P54" s="40">
        <f t="shared" si="10"/>
        <v>319.1066828847191</v>
      </c>
      <c r="Q54" s="8">
        <f t="shared" si="11"/>
        <v>121.244718694836</v>
      </c>
      <c r="R54" s="45">
        <f>(O54*'Zadání parametrů'!$D$4)+G54</f>
        <v>167.97526397503032</v>
      </c>
    </row>
    <row r="55" spans="1:18" ht="12.75">
      <c r="A55" s="4" t="s">
        <v>15</v>
      </c>
      <c r="B55" s="24">
        <f t="shared" si="12"/>
        <v>50</v>
      </c>
      <c r="C55" s="61">
        <f t="shared" si="12"/>
        <v>4</v>
      </c>
      <c r="D55" s="27">
        <f t="shared" si="7"/>
        <v>0.43</v>
      </c>
      <c r="E55" s="27">
        <f>E54</f>
        <v>0.038</v>
      </c>
      <c r="F55" s="23">
        <v>50</v>
      </c>
      <c r="G55" s="6">
        <v>118</v>
      </c>
      <c r="H55" s="48" t="str">
        <f t="shared" si="8"/>
        <v>----</v>
      </c>
      <c r="I55" s="37">
        <f t="shared" si="9"/>
        <v>7515.923566878982</v>
      </c>
      <c r="J55" s="38">
        <f>PI()/((1/(2*D55)*LN(B55/(B55-2*C55)))+(1/('Zadání parametrů'!D$14*(B55)/1000)))*('Zadání parametrů'!D$16-'Zadání parametrů'!D$9)</f>
        <v>50.34998095170306</v>
      </c>
      <c r="K55" s="39">
        <f>J55/1000*24*'Zadání parametrů'!$D$6</f>
        <v>264.63949988215126</v>
      </c>
      <c r="L55" s="39">
        <f>K55*'Zadání parametrů'!$D$18</f>
        <v>381.0819468597494</v>
      </c>
      <c r="M55" s="38">
        <f>PI()/((1/(2*D55)*LN(B55/(B55-2*C55)))+(1/(2*E55)*LN((B55+2*F55)/B55))+(1/('Zadání parametrů'!D$14*(B55+2*F55)/1000)))*('Zadání parametrů'!D$16-'Zadání parametrů'!D$9)</f>
        <v>7.2371279172843375</v>
      </c>
      <c r="N55" s="39">
        <f>M55/1000*24*'Zadání parametrů'!$D$6</f>
        <v>38.03834433324648</v>
      </c>
      <c r="O55" s="39">
        <f>N55*'Zadání parametrů'!$D$18</f>
        <v>54.77536921090877</v>
      </c>
      <c r="P55" s="40">
        <f t="shared" si="10"/>
        <v>326.30657764884063</v>
      </c>
      <c r="Q55" s="8">
        <f t="shared" si="11"/>
        <v>131.99243579561053</v>
      </c>
      <c r="R55" s="45">
        <f>(O55*'Zadání parametrů'!$D$4)+G55</f>
        <v>172.77536921090876</v>
      </c>
    </row>
    <row r="56" spans="1:18" ht="12.75">
      <c r="A56" s="4" t="s">
        <v>15</v>
      </c>
      <c r="B56" s="24">
        <f t="shared" si="12"/>
        <v>50</v>
      </c>
      <c r="C56" s="61">
        <f t="shared" si="12"/>
        <v>4</v>
      </c>
      <c r="D56" s="27">
        <f t="shared" si="7"/>
        <v>0.43</v>
      </c>
      <c r="E56" s="27">
        <f>E55</f>
        <v>0.038</v>
      </c>
      <c r="F56" s="23">
        <v>60</v>
      </c>
      <c r="G56" s="6">
        <v>142</v>
      </c>
      <c r="H56" s="48" t="str">
        <f t="shared" si="8"/>
        <v>----</v>
      </c>
      <c r="I56" s="37">
        <f t="shared" si="9"/>
        <v>6851.959081258445</v>
      </c>
      <c r="J56" s="38">
        <f>PI()/((1/(2*D56)*LN(B56/(B56-2*C56)))+(1/('Zadání parametrů'!D$14*(B56)/1000)))*('Zadání parametrů'!D$16-'Zadání parametrů'!D$9)</f>
        <v>50.34998095170306</v>
      </c>
      <c r="K56" s="39">
        <f>J56/1000*24*'Zadání parametrů'!$D$6</f>
        <v>264.63949988215126</v>
      </c>
      <c r="L56" s="39">
        <f>K56*'Zadání parametrů'!$D$18</f>
        <v>381.0819468597494</v>
      </c>
      <c r="M56" s="38">
        <f>PI()/((1/(2*D56)*LN(B56/(B56-2*C56)))+(1/(2*E56)*LN((B56+2*F56)/B56))+(1/('Zadání parametrů'!D$14*(B56+2*F56)/1000)))*('Zadání parametrů'!D$16-'Zadání parametrů'!D$9)</f>
        <v>6.565198705185468</v>
      </c>
      <c r="N56" s="39">
        <f>M56/1000*24*'Zadání parametrů'!$D$6</f>
        <v>34.50668439445482</v>
      </c>
      <c r="O56" s="39">
        <f>N56*'Zadání parametrů'!$D$18</f>
        <v>49.68976465935604</v>
      </c>
      <c r="P56" s="40">
        <f t="shared" si="10"/>
        <v>331.39218220039334</v>
      </c>
      <c r="Q56" s="8">
        <f t="shared" si="11"/>
        <v>156.40079272798994</v>
      </c>
      <c r="R56" s="45">
        <f>(O56*'Zadání parametrů'!$D$4)+G56</f>
        <v>191.68976465935603</v>
      </c>
    </row>
    <row r="57" spans="1:18" ht="15.75" customHeight="1">
      <c r="A57" s="42"/>
      <c r="B57" s="22"/>
      <c r="C57" s="25"/>
      <c r="D57" s="25"/>
      <c r="E57" s="25"/>
      <c r="F57" s="22"/>
      <c r="G57" s="25"/>
      <c r="H57" s="22"/>
      <c r="I57" s="31"/>
      <c r="J57" s="31"/>
      <c r="K57" s="33"/>
      <c r="L57" s="33"/>
      <c r="M57" s="33"/>
      <c r="N57" s="33"/>
      <c r="O57" s="49" t="s">
        <v>60</v>
      </c>
      <c r="P57" s="34"/>
      <c r="Q57" s="8"/>
      <c r="R57" s="47">
        <f>MIN(R51:R56)</f>
        <v>167.31506906217655</v>
      </c>
    </row>
    <row r="58" spans="1:18" ht="21.75" customHeight="1">
      <c r="A58" s="5" t="s">
        <v>104</v>
      </c>
      <c r="B58" s="22"/>
      <c r="C58" s="42"/>
      <c r="D58" s="42"/>
      <c r="E58" s="25"/>
      <c r="F58" s="22"/>
      <c r="G58" s="25"/>
      <c r="H58" s="22"/>
      <c r="I58" s="31"/>
      <c r="J58" s="31"/>
      <c r="K58" s="33"/>
      <c r="L58" s="33"/>
      <c r="M58" s="33"/>
      <c r="N58" s="33"/>
      <c r="O58" s="33"/>
      <c r="P58" s="34"/>
      <c r="Q58" s="35"/>
      <c r="R58" s="43"/>
    </row>
    <row r="59" spans="1:18" ht="12.75">
      <c r="A59" s="4" t="s">
        <v>15</v>
      </c>
      <c r="B59" s="23">
        <v>63</v>
      </c>
      <c r="C59" s="6">
        <v>4.5</v>
      </c>
      <c r="D59" s="27">
        <f>D$7</f>
        <v>0.43</v>
      </c>
      <c r="E59" s="50">
        <v>0.038</v>
      </c>
      <c r="F59" s="23">
        <v>20</v>
      </c>
      <c r="G59" s="6">
        <v>87</v>
      </c>
      <c r="H59" s="48" t="str">
        <f aca="true" t="shared" si="13" ref="H59:H64">IF(R59=R$65,"OPTIMÁLNÍ","----")</f>
        <v>----</v>
      </c>
      <c r="I59" s="37">
        <f aca="true" t="shared" si="14" ref="I59:I64">G59/((3.14*(B59+2*F59)^2/4-3.14*B59^2/4)/1000000)</f>
        <v>16690.96769242575</v>
      </c>
      <c r="J59" s="38">
        <f>PI()/((1/(2*D59)*LN(B59/(B59-2*C59)))+(1/('Zadání parametrů'!D$14*(B59)/1000)))*('Zadání parametrů'!D$16-'Zadání parametrů'!D$9)</f>
        <v>62.78223451300697</v>
      </c>
      <c r="K59" s="39">
        <f>J59/1000*24*'Zadání parametrů'!$D$6</f>
        <v>329.9834246003646</v>
      </c>
      <c r="L59" s="39">
        <f>K59*'Zadání parametrů'!$D$18</f>
        <v>475.1774619214188</v>
      </c>
      <c r="M59" s="38">
        <f>PI()/((1/(2*D59)*LN(B59/(B59-2*C59)))+(1/(2*E59)*LN((B59+2*F59)/B59))+(1/('Zadání parametrů'!D$14*(B59+2*F59)/1000)))*('Zadání parametrů'!D$16-'Zadání parametrů'!D$9)</f>
        <v>14.557755485396235</v>
      </c>
      <c r="N59" s="39">
        <f>M59/1000*24*'Zadání parametrů'!$D$6</f>
        <v>76.51556283124262</v>
      </c>
      <c r="O59" s="39">
        <f>N59*'Zadání parametrů'!$D$18</f>
        <v>110.18271898860264</v>
      </c>
      <c r="P59" s="40">
        <f aca="true" t="shared" si="15" ref="P59:P64">L59-O59</f>
        <v>364.99474293281617</v>
      </c>
      <c r="Q59" s="8">
        <f aca="true" t="shared" si="16" ref="Q59:Q64">G59/P59*365</f>
        <v>87.00125307241775</v>
      </c>
      <c r="R59" s="45">
        <f>(O59*'Zadání parametrů'!$D$4)+G59</f>
        <v>197.18271898860263</v>
      </c>
    </row>
    <row r="60" spans="1:18" ht="12.75">
      <c r="A60" s="4" t="s">
        <v>15</v>
      </c>
      <c r="B60" s="24">
        <f aca="true" t="shared" si="17" ref="B60:D64">B$59</f>
        <v>63</v>
      </c>
      <c r="C60" s="61">
        <f t="shared" si="17"/>
        <v>4.5</v>
      </c>
      <c r="D60" s="61">
        <f t="shared" si="17"/>
        <v>0.43</v>
      </c>
      <c r="E60" s="27">
        <f>E59</f>
        <v>0.038</v>
      </c>
      <c r="F60" s="23">
        <v>25</v>
      </c>
      <c r="G60" s="6">
        <v>97</v>
      </c>
      <c r="H60" s="48" t="str">
        <f t="shared" si="13"/>
        <v>----</v>
      </c>
      <c r="I60" s="37">
        <f t="shared" si="14"/>
        <v>14041.690793283147</v>
      </c>
      <c r="J60" s="38">
        <f>PI()/((1/(2*D60)*LN(B60/(B60-2*C60)))+(1/('Zadání parametrů'!D$14*(B60)/1000)))*('Zadání parametrů'!D$16-'Zadání parametrů'!D$9)</f>
        <v>62.78223451300697</v>
      </c>
      <c r="K60" s="39">
        <f>J60/1000*24*'Zadání parametrů'!$D$6</f>
        <v>329.9834246003646</v>
      </c>
      <c r="L60" s="39">
        <f>K60*'Zadání parametrů'!$D$18</f>
        <v>475.1774619214188</v>
      </c>
      <c r="M60" s="38">
        <f>PI()/((1/(2*D60)*LN(B60/(B60-2*C60)))+(1/(2*E60)*LN((B60+2*F60)/B60))+(1/('Zadání parametrů'!D$14*(B60+2*F60)/1000)))*('Zadání parametrů'!D$16-'Zadání parametrů'!D$9)</f>
        <v>12.672648260796189</v>
      </c>
      <c r="N60" s="39">
        <f>M60/1000*24*'Zadání parametrů'!$D$6</f>
        <v>66.60743925874478</v>
      </c>
      <c r="O60" s="39">
        <f>N60*'Zadání parametrů'!$D$18</f>
        <v>95.91498109453964</v>
      </c>
      <c r="P60" s="40">
        <f t="shared" si="15"/>
        <v>379.26248082687914</v>
      </c>
      <c r="Q60" s="8">
        <f t="shared" si="16"/>
        <v>93.35223437554114</v>
      </c>
      <c r="R60" s="45">
        <f>(O60*'Zadání parametrů'!$D$4)+G60</f>
        <v>192.91498109453966</v>
      </c>
    </row>
    <row r="61" spans="1:18" ht="12.75">
      <c r="A61" s="4" t="s">
        <v>15</v>
      </c>
      <c r="B61" s="24">
        <f t="shared" si="17"/>
        <v>63</v>
      </c>
      <c r="C61" s="61">
        <f t="shared" si="17"/>
        <v>4.5</v>
      </c>
      <c r="D61" s="61">
        <f t="shared" si="17"/>
        <v>0.43</v>
      </c>
      <c r="E61" s="27">
        <f>E60</f>
        <v>0.038</v>
      </c>
      <c r="F61" s="23">
        <v>30</v>
      </c>
      <c r="G61" s="50">
        <v>101</v>
      </c>
      <c r="H61" s="48" t="str">
        <f t="shared" si="13"/>
        <v>OPTIMÁLNÍ</v>
      </c>
      <c r="I61" s="37">
        <f t="shared" si="14"/>
        <v>11528.890715247811</v>
      </c>
      <c r="J61" s="38">
        <f>PI()/((1/(2*D61)*LN(B61/(B61-2*C61)))+(1/('Zadání parametrů'!D$14*(B61)/1000)))*('Zadání parametrů'!D$16-'Zadání parametrů'!D$9)</f>
        <v>62.78223451300697</v>
      </c>
      <c r="K61" s="39">
        <f>J61/1000*24*'Zadání parametrů'!$D$6</f>
        <v>329.9834246003646</v>
      </c>
      <c r="L61" s="39">
        <f>K61*'Zadání parametrů'!$D$18</f>
        <v>475.1774619214188</v>
      </c>
      <c r="M61" s="38">
        <f>PI()/((1/(2*D61)*LN(B61/(B61-2*C61)))+(1/(2*E61)*LN((B61+2*F61)/B61))+(1/('Zadání parametrů'!D$14*(B61+2*F61)/1000)))*('Zadání parametrů'!D$16-'Zadání parametrů'!D$9)</f>
        <v>11.322271840849137</v>
      </c>
      <c r="N61" s="39">
        <f>M61/1000*24*'Zadání parametrů'!$D$6</f>
        <v>59.509860795503066</v>
      </c>
      <c r="O61" s="39">
        <f>N61*'Zadání parametrů'!$D$18</f>
        <v>85.69443948995507</v>
      </c>
      <c r="P61" s="40">
        <f t="shared" si="15"/>
        <v>389.4830224314637</v>
      </c>
      <c r="Q61" s="8">
        <f t="shared" si="16"/>
        <v>94.65110897481298</v>
      </c>
      <c r="R61" s="45">
        <f>(O61*'Zadání parametrů'!$D$4)+G61</f>
        <v>186.69443948995507</v>
      </c>
    </row>
    <row r="62" spans="1:18" ht="12.75">
      <c r="A62" s="4" t="s">
        <v>15</v>
      </c>
      <c r="B62" s="24">
        <f t="shared" si="17"/>
        <v>63</v>
      </c>
      <c r="C62" s="61">
        <f t="shared" si="17"/>
        <v>4.5</v>
      </c>
      <c r="D62" s="61">
        <f t="shared" si="17"/>
        <v>0.43</v>
      </c>
      <c r="E62" s="27">
        <f>E61</f>
        <v>0.038</v>
      </c>
      <c r="F62" s="23">
        <v>40</v>
      </c>
      <c r="G62" s="6">
        <v>117</v>
      </c>
      <c r="H62" s="48" t="str">
        <f t="shared" si="13"/>
        <v>----</v>
      </c>
      <c r="I62" s="37">
        <f t="shared" si="14"/>
        <v>9043.967596314389</v>
      </c>
      <c r="J62" s="38">
        <f>PI()/((1/(2*D62)*LN(B62/(B62-2*C62)))+(1/('Zadání parametrů'!D$14*(B62)/1000)))*('Zadání parametrů'!D$16-'Zadání parametrů'!D$9)</f>
        <v>62.78223451300697</v>
      </c>
      <c r="K62" s="39">
        <f>J62/1000*24*'Zadání parametrů'!$D$6</f>
        <v>329.9834246003646</v>
      </c>
      <c r="L62" s="39">
        <f>K62*'Zadání parametrů'!$D$18</f>
        <v>475.1774619214188</v>
      </c>
      <c r="M62" s="38">
        <f>PI()/((1/(2*D62)*LN(B62/(B62-2*C62)))+(1/(2*E62)*LN((B62+2*F62)/B62))+(1/('Zadání parametrů'!D$14*(B62+2*F62)/1000)))*('Zadání parametrů'!D$16-'Zadání parametrů'!D$9)</f>
        <v>9.508386235323186</v>
      </c>
      <c r="N62" s="39">
        <f>M62/1000*24*'Zadání parametrů'!$D$6</f>
        <v>49.976078052858675</v>
      </c>
      <c r="O62" s="39">
        <f>N62*'Zadání parametrů'!$D$18</f>
        <v>71.96575390022748</v>
      </c>
      <c r="P62" s="40">
        <f t="shared" si="15"/>
        <v>403.2117080211913</v>
      </c>
      <c r="Q62" s="8">
        <f t="shared" si="16"/>
        <v>105.91210312215334</v>
      </c>
      <c r="R62" s="45">
        <f>(O62*'Zadání parametrů'!$D$4)+G62</f>
        <v>188.96575390022747</v>
      </c>
    </row>
    <row r="63" spans="1:18" ht="12.75">
      <c r="A63" s="4" t="s">
        <v>15</v>
      </c>
      <c r="B63" s="24">
        <f t="shared" si="17"/>
        <v>63</v>
      </c>
      <c r="C63" s="61">
        <f t="shared" si="17"/>
        <v>4.5</v>
      </c>
      <c r="D63" s="61">
        <f t="shared" si="17"/>
        <v>0.43</v>
      </c>
      <c r="E63" s="27">
        <f>E62</f>
        <v>0.038</v>
      </c>
      <c r="F63" s="23">
        <v>50</v>
      </c>
      <c r="G63" s="6">
        <v>136</v>
      </c>
      <c r="H63" s="48" t="str">
        <f t="shared" si="13"/>
        <v>----</v>
      </c>
      <c r="I63" s="37">
        <f t="shared" si="14"/>
        <v>7665.858745279296</v>
      </c>
      <c r="J63" s="38">
        <f>PI()/((1/(2*D63)*LN(B63/(B63-2*C63)))+(1/('Zadání parametrů'!D$14*(B63)/1000)))*('Zadání parametrů'!D$16-'Zadání parametrů'!D$9)</f>
        <v>62.78223451300697</v>
      </c>
      <c r="K63" s="39">
        <f>J63/1000*24*'Zadání parametrů'!$D$6</f>
        <v>329.9834246003646</v>
      </c>
      <c r="L63" s="39">
        <f>K63*'Zadání parametrů'!$D$18</f>
        <v>475.1774619214188</v>
      </c>
      <c r="M63" s="38">
        <f>PI()/((1/(2*D63)*LN(B63/(B63-2*C63)))+(1/(2*E63)*LN((B63+2*F63)/B63))+(1/('Zadání parametrů'!D$14*(B63+2*F63)/1000)))*('Zadání parametrů'!D$16-'Zadání parametrů'!D$9)</f>
        <v>8.338401071631193</v>
      </c>
      <c r="N63" s="39">
        <f>M63/1000*24*'Zadání parametrů'!$D$6</f>
        <v>43.826636032493546</v>
      </c>
      <c r="O63" s="39">
        <f>N63*'Zadání parametrů'!$D$18</f>
        <v>63.110532596282034</v>
      </c>
      <c r="P63" s="40">
        <f t="shared" si="15"/>
        <v>412.06692932513675</v>
      </c>
      <c r="Q63" s="8">
        <f t="shared" si="16"/>
        <v>120.46586723496104</v>
      </c>
      <c r="R63" s="45">
        <f>(O63*'Zadání parametrů'!$D$4)+G63</f>
        <v>199.11053259628204</v>
      </c>
    </row>
    <row r="64" spans="1:18" ht="12.75">
      <c r="A64" s="4" t="s">
        <v>15</v>
      </c>
      <c r="B64" s="24">
        <f t="shared" si="17"/>
        <v>63</v>
      </c>
      <c r="C64" s="61">
        <f t="shared" si="17"/>
        <v>4.5</v>
      </c>
      <c r="D64" s="61">
        <f t="shared" si="17"/>
        <v>0.43</v>
      </c>
      <c r="E64" s="27">
        <f>E63</f>
        <v>0.038</v>
      </c>
      <c r="F64" s="23">
        <v>60</v>
      </c>
      <c r="G64" s="6">
        <v>184</v>
      </c>
      <c r="H64" s="48" t="str">
        <f t="shared" si="13"/>
        <v>----</v>
      </c>
      <c r="I64" s="37">
        <f t="shared" si="14"/>
        <v>7940.206790602937</v>
      </c>
      <c r="J64" s="38">
        <f>PI()/((1/(2*D64)*LN(B64/(B64-2*C64)))+(1/('Zadání parametrů'!D$14*(B64)/1000)))*('Zadání parametrů'!D$16-'Zadání parametrů'!D$9)</f>
        <v>62.78223451300697</v>
      </c>
      <c r="K64" s="39">
        <f>J64/1000*24*'Zadání parametrů'!$D$6</f>
        <v>329.9834246003646</v>
      </c>
      <c r="L64" s="39">
        <f>K64*'Zadání parametrů'!$D$18</f>
        <v>475.1774619214188</v>
      </c>
      <c r="M64" s="38">
        <f>PI()/((1/(2*D64)*LN(B64/(B64-2*C64)))+(1/(2*E64)*LN((B64+2*F64)/B64))+(1/('Zadání parametrů'!D$14*(B64+2*F64)/1000)))*('Zadání parametrů'!D$16-'Zadání parametrů'!D$9)</f>
        <v>7.515789103695418</v>
      </c>
      <c r="N64" s="39">
        <f>M64/1000*24*'Zadání parametrů'!$D$6</f>
        <v>39.50298752902312</v>
      </c>
      <c r="O64" s="39">
        <f>N64*'Zadání parametrů'!$D$18</f>
        <v>56.88446131828504</v>
      </c>
      <c r="P64" s="40">
        <f t="shared" si="15"/>
        <v>418.29300060313375</v>
      </c>
      <c r="Q64" s="8">
        <f t="shared" si="16"/>
        <v>160.55731246557428</v>
      </c>
      <c r="R64" s="45">
        <f>(O64*'Zadání parametrů'!$D$4)+G64</f>
        <v>240.88446131828505</v>
      </c>
    </row>
    <row r="65" spans="1:18" ht="15.75" customHeight="1">
      <c r="A65" s="42"/>
      <c r="B65" s="22"/>
      <c r="C65" s="25"/>
      <c r="D65" s="25"/>
      <c r="E65" s="25"/>
      <c r="F65" s="22"/>
      <c r="G65" s="25"/>
      <c r="H65" s="22"/>
      <c r="I65" s="31"/>
      <c r="J65" s="32"/>
      <c r="K65" s="33"/>
      <c r="L65" s="33"/>
      <c r="M65" s="32"/>
      <c r="N65" s="33"/>
      <c r="O65" s="49" t="s">
        <v>60</v>
      </c>
      <c r="P65" s="34"/>
      <c r="Q65" s="8"/>
      <c r="R65" s="47">
        <f>MIN(R59:R64)</f>
        <v>186.69443948995507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Matějka</dc:creator>
  <cp:keywords/>
  <dc:description/>
  <cp:lastModifiedBy>Jindřich Matějka</cp:lastModifiedBy>
  <cp:lastPrinted>2007-12-05T07:48:31Z</cp:lastPrinted>
  <dcterms:created xsi:type="dcterms:W3CDTF">2007-09-17T12:13:27Z</dcterms:created>
  <dcterms:modified xsi:type="dcterms:W3CDTF">2007-12-11T16:36:38Z</dcterms:modified>
  <cp:category/>
  <cp:version/>
  <cp:contentType/>
  <cp:contentStatus/>
</cp:coreProperties>
</file>